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5 Конкурсы\3 Конкурсы РКС Москва\4. Левитана\Металлоконструкции\Тендерная документация\"/>
    </mc:Choice>
  </mc:AlternateContent>
  <xr:revisionPtr revIDLastSave="0" documentId="13_ncr:1_{A86BAACF-D4C6-4F86-9842-7F6882910A8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БС1-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93" i="1" l="1"/>
  <c r="D92" i="1"/>
  <c r="D91" i="1"/>
  <c r="H69" i="1"/>
  <c r="D69" i="1"/>
  <c r="I69" i="1"/>
  <c r="L69" i="1"/>
  <c r="H68" i="1"/>
  <c r="D68" i="1"/>
  <c r="I68" i="1"/>
  <c r="L68" i="1"/>
  <c r="D90" i="1"/>
  <c r="J90" i="1"/>
  <c r="K90" i="1"/>
  <c r="L90" i="1"/>
  <c r="H91" i="1"/>
  <c r="I91" i="1"/>
  <c r="L91" i="1"/>
  <c r="H92" i="1"/>
  <c r="I92" i="1"/>
  <c r="L92" i="1"/>
  <c r="H93" i="1"/>
  <c r="I93" i="1"/>
  <c r="L93" i="1"/>
  <c r="L89" i="1"/>
  <c r="D16" i="1"/>
  <c r="D17" i="1"/>
  <c r="D18" i="1"/>
  <c r="D15" i="1"/>
  <c r="J15" i="1"/>
  <c r="K15" i="1"/>
  <c r="L15" i="1"/>
  <c r="H16" i="1"/>
  <c r="I16" i="1"/>
  <c r="L16" i="1"/>
  <c r="H17" i="1"/>
  <c r="I17" i="1"/>
  <c r="L17" i="1"/>
  <c r="H18" i="1"/>
  <c r="I18" i="1"/>
  <c r="L18" i="1"/>
  <c r="D20" i="1"/>
  <c r="D21" i="1"/>
  <c r="D19" i="1"/>
  <c r="J19" i="1"/>
  <c r="K19" i="1"/>
  <c r="L19" i="1"/>
  <c r="H20" i="1"/>
  <c r="I20" i="1"/>
  <c r="L20" i="1"/>
  <c r="H21" i="1"/>
  <c r="I21" i="1"/>
  <c r="L21" i="1"/>
  <c r="L14" i="1"/>
  <c r="D24" i="1"/>
  <c r="D23" i="1"/>
  <c r="J23" i="1"/>
  <c r="K23" i="1"/>
  <c r="L23" i="1"/>
  <c r="H24" i="1"/>
  <c r="I24" i="1"/>
  <c r="L24" i="1"/>
  <c r="L22" i="1"/>
  <c r="D27" i="1"/>
  <c r="D28" i="1"/>
  <c r="D29" i="1"/>
  <c r="D30" i="1"/>
  <c r="D31" i="1"/>
  <c r="D32" i="1"/>
  <c r="D26" i="1"/>
  <c r="J26" i="1"/>
  <c r="K26" i="1"/>
  <c r="L26" i="1"/>
  <c r="H27" i="1"/>
  <c r="I27" i="1"/>
  <c r="L27" i="1"/>
  <c r="H28" i="1"/>
  <c r="I28" i="1"/>
  <c r="L28" i="1"/>
  <c r="H29" i="1"/>
  <c r="I29" i="1"/>
  <c r="L29" i="1"/>
  <c r="H30" i="1"/>
  <c r="I30" i="1"/>
  <c r="L30" i="1"/>
  <c r="H31" i="1"/>
  <c r="I31" i="1"/>
  <c r="L31" i="1"/>
  <c r="H32" i="1"/>
  <c r="I32" i="1"/>
  <c r="L32" i="1"/>
  <c r="L25" i="1"/>
  <c r="D35" i="1"/>
  <c r="D36" i="1"/>
  <c r="D37" i="1"/>
  <c r="D38" i="1"/>
  <c r="D39" i="1"/>
  <c r="D34" i="1"/>
  <c r="J34" i="1"/>
  <c r="K34" i="1"/>
  <c r="L34" i="1"/>
  <c r="H35" i="1"/>
  <c r="I35" i="1"/>
  <c r="L35" i="1"/>
  <c r="H36" i="1"/>
  <c r="I36" i="1"/>
  <c r="L36" i="1"/>
  <c r="H37" i="1"/>
  <c r="I37" i="1"/>
  <c r="L37" i="1"/>
  <c r="H38" i="1"/>
  <c r="I38" i="1"/>
  <c r="L38" i="1"/>
  <c r="H39" i="1"/>
  <c r="I39" i="1"/>
  <c r="L39" i="1"/>
  <c r="L33" i="1"/>
  <c r="D42" i="1"/>
  <c r="D43" i="1"/>
  <c r="D44" i="1"/>
  <c r="D45" i="1"/>
  <c r="D41" i="1"/>
  <c r="J41" i="1"/>
  <c r="K41" i="1"/>
  <c r="L41" i="1"/>
  <c r="H42" i="1"/>
  <c r="I42" i="1"/>
  <c r="L42" i="1"/>
  <c r="H43" i="1"/>
  <c r="I43" i="1"/>
  <c r="L43" i="1"/>
  <c r="H44" i="1"/>
  <c r="I44" i="1"/>
  <c r="L44" i="1"/>
  <c r="H45" i="1"/>
  <c r="I45" i="1"/>
  <c r="L45" i="1"/>
  <c r="L40" i="1"/>
  <c r="D48" i="1"/>
  <c r="D49" i="1"/>
  <c r="D50" i="1"/>
  <c r="D51" i="1"/>
  <c r="D47" i="1"/>
  <c r="J47" i="1"/>
  <c r="K47" i="1"/>
  <c r="L47" i="1"/>
  <c r="H48" i="1"/>
  <c r="I48" i="1"/>
  <c r="L48" i="1"/>
  <c r="H49" i="1"/>
  <c r="I49" i="1"/>
  <c r="L49" i="1"/>
  <c r="H50" i="1"/>
  <c r="I50" i="1"/>
  <c r="L50" i="1"/>
  <c r="H51" i="1"/>
  <c r="I51" i="1"/>
  <c r="L51" i="1"/>
  <c r="L46" i="1"/>
  <c r="D54" i="1"/>
  <c r="D55" i="1"/>
  <c r="D56" i="1"/>
  <c r="D57" i="1"/>
  <c r="D58" i="1"/>
  <c r="D53" i="1"/>
  <c r="J53" i="1"/>
  <c r="K53" i="1"/>
  <c r="L53" i="1"/>
  <c r="H55" i="1"/>
  <c r="I55" i="1"/>
  <c r="L55" i="1"/>
  <c r="H58" i="1"/>
  <c r="I58" i="1"/>
  <c r="L58" i="1"/>
  <c r="L52" i="1"/>
  <c r="D61" i="1"/>
  <c r="D62" i="1"/>
  <c r="D63" i="1"/>
  <c r="D60" i="1"/>
  <c r="J60" i="1"/>
  <c r="K60" i="1"/>
  <c r="L60" i="1"/>
  <c r="H61" i="1"/>
  <c r="I61" i="1"/>
  <c r="L61" i="1"/>
  <c r="H62" i="1"/>
  <c r="I62" i="1"/>
  <c r="L62" i="1"/>
  <c r="H63" i="1"/>
  <c r="I63" i="1"/>
  <c r="L63" i="1"/>
  <c r="L59" i="1"/>
  <c r="D66" i="1"/>
  <c r="D67" i="1"/>
  <c r="D65" i="1"/>
  <c r="J65" i="1"/>
  <c r="K65" i="1"/>
  <c r="L65" i="1"/>
  <c r="H66" i="1"/>
  <c r="I66" i="1"/>
  <c r="L66" i="1"/>
  <c r="H67" i="1"/>
  <c r="I67" i="1"/>
  <c r="L67" i="1"/>
  <c r="H70" i="1"/>
  <c r="I70" i="1"/>
  <c r="L70" i="1"/>
  <c r="L64" i="1"/>
  <c r="D73" i="1"/>
  <c r="D74" i="1"/>
  <c r="D75" i="1"/>
  <c r="D76" i="1"/>
  <c r="D77" i="1"/>
  <c r="D72" i="1"/>
  <c r="J72" i="1"/>
  <c r="K72" i="1"/>
  <c r="L72" i="1"/>
  <c r="H73" i="1"/>
  <c r="I73" i="1"/>
  <c r="L73" i="1"/>
  <c r="H74" i="1"/>
  <c r="I74" i="1"/>
  <c r="L74" i="1"/>
  <c r="H75" i="1"/>
  <c r="I75" i="1"/>
  <c r="L75" i="1"/>
  <c r="H76" i="1"/>
  <c r="I76" i="1"/>
  <c r="L76" i="1"/>
  <c r="H77" i="1"/>
  <c r="I77" i="1"/>
  <c r="L77" i="1"/>
  <c r="L71" i="1"/>
  <c r="D80" i="1"/>
  <c r="D81" i="1"/>
  <c r="D82" i="1"/>
  <c r="D83" i="1"/>
  <c r="D84" i="1"/>
  <c r="D85" i="1"/>
  <c r="D86" i="1"/>
  <c r="D87" i="1"/>
  <c r="D88" i="1"/>
  <c r="D79" i="1"/>
  <c r="J79" i="1"/>
  <c r="K79" i="1"/>
  <c r="L79" i="1"/>
  <c r="H80" i="1"/>
  <c r="I80" i="1"/>
  <c r="L80" i="1"/>
  <c r="H81" i="1"/>
  <c r="I81" i="1"/>
  <c r="L81" i="1"/>
  <c r="H82" i="1"/>
  <c r="I82" i="1"/>
  <c r="L82" i="1"/>
  <c r="H83" i="1"/>
  <c r="I83" i="1"/>
  <c r="L83" i="1"/>
  <c r="H84" i="1"/>
  <c r="I84" i="1"/>
  <c r="L84" i="1"/>
  <c r="H85" i="1"/>
  <c r="I85" i="1"/>
  <c r="L85" i="1"/>
  <c r="H86" i="1"/>
  <c r="I86" i="1"/>
  <c r="L86" i="1"/>
  <c r="H87" i="1"/>
  <c r="I87" i="1"/>
  <c r="L87" i="1"/>
  <c r="H88" i="1"/>
  <c r="I88" i="1"/>
  <c r="L88" i="1"/>
  <c r="L78" i="1"/>
  <c r="L95" i="1"/>
  <c r="J95" i="1"/>
  <c r="K95" i="1"/>
  <c r="H54" i="1"/>
  <c r="I54" i="1"/>
  <c r="H56" i="1"/>
  <c r="I56" i="1"/>
  <c r="H57" i="1"/>
  <c r="I57" i="1"/>
  <c r="I95" i="1"/>
  <c r="L57" i="1"/>
  <c r="L56" i="1"/>
  <c r="L54" i="1"/>
  <c r="H53" i="1"/>
  <c r="H79" i="1"/>
  <c r="H65" i="1"/>
  <c r="H72" i="1"/>
  <c r="H60" i="1"/>
  <c r="H90" i="1"/>
  <c r="H47" i="1"/>
  <c r="H41" i="1"/>
  <c r="H34" i="1"/>
  <c r="H26" i="1"/>
  <c r="H23" i="1"/>
  <c r="H19" i="1"/>
  <c r="H15" i="1"/>
</calcChain>
</file>

<file path=xl/sharedStrings.xml><?xml version="1.0" encoding="utf-8"?>
<sst xmlns="http://schemas.openxmlformats.org/spreadsheetml/2006/main" count="262" uniqueCount="186">
  <si>
    <t>№ п.п.</t>
  </si>
  <si>
    <t xml:space="preserve">Наименование работ </t>
  </si>
  <si>
    <t>Ед. изм.</t>
  </si>
  <si>
    <t>Объем</t>
  </si>
  <si>
    <t>Стоимость единицы объема, с НДС (руб.)</t>
  </si>
  <si>
    <t>Стоимость на весь объем, с НДС (руб.)</t>
  </si>
  <si>
    <t>Основные материалы</t>
  </si>
  <si>
    <t xml:space="preserve">СМР </t>
  </si>
  <si>
    <t>Всего</t>
  </si>
  <si>
    <t>шт</t>
  </si>
  <si>
    <t>ИТОГО</t>
  </si>
  <si>
    <t>тн</t>
  </si>
  <si>
    <t xml:space="preserve">Примечание: </t>
  </si>
  <si>
    <t>1. Объемы работ в ТЗ являются ориентировочными и уточняются подрядчиками до проведения тендера. В стоимость единичных расценок входит полный комплекс вспомогательных и сопутствующих работ и материалов, необходимых для выполнения полного комплекса работ.</t>
  </si>
  <si>
    <t>3. В работах должны быть учтены затраты на все дополнительные и расходные материалы, затраты на машины и механизмы необходимые для выполнения работ все накладные расходы подрядчика и т.д.</t>
  </si>
  <si>
    <t>4. Выполнить антикоррозионную защиту всех металлоконструкций в соответствии с проектом.</t>
  </si>
  <si>
    <t>1.1</t>
  </si>
  <si>
    <t>1.2</t>
  </si>
  <si>
    <t>1.3</t>
  </si>
  <si>
    <t>Профильная труба 80х80х3 L=2778, ГОСТ 30245-2012</t>
  </si>
  <si>
    <t>Полоса -6х140 L=200, ГОСТ 103-2006</t>
  </si>
  <si>
    <t>Полоса -6х140 L=250, ГОСТ 103-2006</t>
  </si>
  <si>
    <t>Изготовление и монтаж металлоконструкций стоек Ст2 балконов и лоджий и креплением к существующим ж/б и каменным конструкциям в соответствии с узлами по проекту, с антикоррозионной обработкой и окраской RAL7004.</t>
  </si>
  <si>
    <t>2</t>
  </si>
  <si>
    <t>2.1</t>
  </si>
  <si>
    <t>2.2</t>
  </si>
  <si>
    <t>Изготовление и монтаж металлоконструкций стоек Ст1 балконов и лоджий и креплением к существующим ж/б и каменным конструкциям в соответствии с узлами по проекту, с антикоррозионной обработкой и окраской RAL7004.</t>
  </si>
  <si>
    <t>3</t>
  </si>
  <si>
    <t>Изготовление и монтаж металлоконструкций ригелей балконов и лоджий и креплением к существующим ж/б и каменным конструкциям в соответствии с узлами по проекту, с антикоррозионной обработкой и окраской RAL7004.</t>
  </si>
  <si>
    <t>Профильная труба 80х80х3 п.м., ГОСТ 30245-2012</t>
  </si>
  <si>
    <t>3.1</t>
  </si>
  <si>
    <t>клетки обязательные для заполнения</t>
  </si>
  <si>
    <t>Изготовление и монтаж металлоконструкций ограждений балконов и лоджий Ог1 - Ог42.1 и креплением к существующим ж/б и каменным конструкциям в соответствии с узлами по проекту, с антикоррозионной обработкой и окраской RAL7004.</t>
  </si>
  <si>
    <t>4</t>
  </si>
  <si>
    <t>4.1</t>
  </si>
  <si>
    <t>4.2</t>
  </si>
  <si>
    <t>4.3</t>
  </si>
  <si>
    <t>4.4</t>
  </si>
  <si>
    <t>4.5</t>
  </si>
  <si>
    <t>4.6</t>
  </si>
  <si>
    <t>Профильная труба 40х60х4, п.м., ГОСТ 30245-2012</t>
  </si>
  <si>
    <t>Профильная труба 30х40х4, п.м., ГОСТ 30245-2012</t>
  </si>
  <si>
    <t>Профильная труба 20х20х1,5 L=405, ГОСТ 8639-82*</t>
  </si>
  <si>
    <t>Профильная труба 20х20х1,5 L=1030, ГОСТ 8639-82*</t>
  </si>
  <si>
    <t>Профильная труба 40х40х4, L=1174, ГОСТ 8639-82*</t>
  </si>
  <si>
    <t>Полоса -6х60 L=120, ГОСТ 103-2006</t>
  </si>
  <si>
    <t>Металлоконструкции стоек Ст1, Ст2</t>
  </si>
  <si>
    <t>Металлоконструкции ригелей Рг1, Рг2</t>
  </si>
  <si>
    <t>Металлоконструкции ограждений лоджий и балконов Ог1-Ог42.1</t>
  </si>
  <si>
    <t>Металлоконструкции ограждения спуска в подвал ПМ1, ПМ2</t>
  </si>
  <si>
    <t>Изготовление и монтаж металлоконструкций ограждений спусков в подвал ПМ1, ПМ2 и креплением к существующим ж/б и каменным конструкциям в соответствии с узлами по проекту, с антикоррозионной обработкой и окраской.</t>
  </si>
  <si>
    <t>5</t>
  </si>
  <si>
    <t>5.1</t>
  </si>
  <si>
    <t>5.2</t>
  </si>
  <si>
    <t>5.3</t>
  </si>
  <si>
    <t>5.4</t>
  </si>
  <si>
    <t>5.5</t>
  </si>
  <si>
    <t>Лист -80х80х8, ГОСТ103-2006</t>
  </si>
  <si>
    <t>Труба 42х2, п.м, ГОСТ 10704-91</t>
  </si>
  <si>
    <t>Труба 20х1,5, п.м, ГОСТ 10704-91</t>
  </si>
  <si>
    <t>Круг Ø16 А240 L=170, ГОСТ34028-2016</t>
  </si>
  <si>
    <t>Лист -5х100х100 Ø100, ГОСТ 103-2006</t>
  </si>
  <si>
    <t>Металлоконструкции ограждения лестничных маршей Ог48, Ог48.1, Ог48.1а, Ог48.2, Ог48.3</t>
  </si>
  <si>
    <t>Изготовление и монтаж металлоконструкций ограждений лестничных маршей Ог48, Ог48.1, Ог48.1а, Ог48.2, Ог48.3 и креплением к существующим ж/б и каменным конструкциям в соответствии с узлами по проекту, с антикоррозионной обработкой и окраской.</t>
  </si>
  <si>
    <t>Полоса 40х4 п.м.</t>
  </si>
  <si>
    <t>6</t>
  </si>
  <si>
    <t>6.1</t>
  </si>
  <si>
    <t>6.2</t>
  </si>
  <si>
    <t>6.3</t>
  </si>
  <si>
    <t>6.4</t>
  </si>
  <si>
    <t>7</t>
  </si>
  <si>
    <t>Металлоконструкции ограждения кровли Ог46, Ог47</t>
  </si>
  <si>
    <t>Сопутствующие материалы</t>
  </si>
  <si>
    <t>Изготовление и монтаж металлоконструкций ограждений кровли Ог46, Ог47 и креплением к существующим ж/б и каменным конструкциям в соответствии с узлами по проекту, с антикоррозионной обработкой и окраской RAL9005.</t>
  </si>
  <si>
    <t>7.1</t>
  </si>
  <si>
    <t>7.2</t>
  </si>
  <si>
    <t>7.3</t>
  </si>
  <si>
    <t>7.4</t>
  </si>
  <si>
    <t>Металлоконструкции ограждения Ог43, Ог44, Ог45</t>
  </si>
  <si>
    <t>Металлоконструкции аварийной лестницы Ст1</t>
  </si>
  <si>
    <t>Металлоконструкции люка металлического Л1</t>
  </si>
  <si>
    <t>8</t>
  </si>
  <si>
    <t>9</t>
  </si>
  <si>
    <t>10</t>
  </si>
  <si>
    <t>11</t>
  </si>
  <si>
    <t>Металлоконструкции лестниц Ст2, Ст3</t>
  </si>
  <si>
    <t>Металлоконструкции лестниц техподполья и выхода на кровлю ЛМ1, ЛМ2, ЛМ3</t>
  </si>
  <si>
    <t>12</t>
  </si>
  <si>
    <t>Металлоконструкции декоративных элементов ДЭ1 - ДЭ24</t>
  </si>
  <si>
    <t>13</t>
  </si>
  <si>
    <t>Профильная труба 50х50х5, п.м., ГОСТ 8639-82*</t>
  </si>
  <si>
    <t>Полоса -10х200 L=700, ГОСТ 103-2006</t>
  </si>
  <si>
    <t>Профильная труба 70х70х5, п.м., ГОСТ 8639-82*</t>
  </si>
  <si>
    <t>Изготовление и монтаж металлоконструкций декоративных элементов фасада ДЭ1 -ДЭ24 и креплением к существующим ж/б и каменным конструкциям в соответствии с узлами по проекту, с антикоррозионной обработкой и окраской.</t>
  </si>
  <si>
    <t>13.1</t>
  </si>
  <si>
    <t>13.2</t>
  </si>
  <si>
    <t>13.3</t>
  </si>
  <si>
    <t>Профильная труба 20х20х2, п.м., ГОСТ 8639-82*</t>
  </si>
  <si>
    <t>Профильная труба 35х35х3, п.м., ГОСТ 8639-82*</t>
  </si>
  <si>
    <t>Лист -60х120х6, ГОСТ 103-2006</t>
  </si>
  <si>
    <t>Лист -5х150150, ГОСТ 103-2006</t>
  </si>
  <si>
    <t>Изготовление и монтаж металлоконструкций аварийной лестницы Ст1 и креплением к существующим ж/б и каменным конструкциям в соответствии с узлами по проекту, с антикоррозионной обработкой и окраской.</t>
  </si>
  <si>
    <t>9.1</t>
  </si>
  <si>
    <t>9.2</t>
  </si>
  <si>
    <t>9.3</t>
  </si>
  <si>
    <t>Угол 40х40х4 L=2808, ГОСТ 8509-93</t>
  </si>
  <si>
    <t>Полоса -6х100 L=100, ГОСТ 103-2006</t>
  </si>
  <si>
    <t>Изготовление и монтаж металлоконструкций люка металлического Л1 и креплением к существующим ж/б и каменным конструкциям в соответствии с узлами по проекту, с антикоррозионной обработкой и окраской.</t>
  </si>
  <si>
    <t>Угол 20х20х3 п.м., ГОСТ 8509-93</t>
  </si>
  <si>
    <t>Пруток 16-А240 L=450, ГОСТ 34028-2016</t>
  </si>
  <si>
    <t>Лист К-ПУ-3х690х890 БСТЗкп2, ГОСТ8568-77*</t>
  </si>
  <si>
    <t>10.1</t>
  </si>
  <si>
    <t>10.2</t>
  </si>
  <si>
    <t>10.3</t>
  </si>
  <si>
    <t>Пруток  18-А240 L=900, ГОСТ 34028-2016</t>
  </si>
  <si>
    <t>Угол 125х80х7 L=360, ГОСТ 8510-86</t>
  </si>
  <si>
    <t>Изготовление и монтаж металлоконструкций  лестниц  Ст2, Ст3 и креплением к существующим ж/б и каменным конструкциям в соответствии с узлами по проекту, с антикоррозионной обработкой и окраской.</t>
  </si>
  <si>
    <t>11.1</t>
  </si>
  <si>
    <t>11.2</t>
  </si>
  <si>
    <t>11.3</t>
  </si>
  <si>
    <t>11.4</t>
  </si>
  <si>
    <t>11.5</t>
  </si>
  <si>
    <t>Угол 75х6, ГОСТ 8509-93</t>
  </si>
  <si>
    <t>Лист 6, ГОСТ 103-2006</t>
  </si>
  <si>
    <t>Лист 10, ГОСТ 103-2006</t>
  </si>
  <si>
    <t>Полоса -4х100 L=120, ГОСТ 103-2006</t>
  </si>
  <si>
    <t>Угол 125х8 L=200, ГОСТ 8509-93</t>
  </si>
  <si>
    <t>Профильная труба 30х30х2,5, ГОСТ 8639-82*</t>
  </si>
  <si>
    <t>Профильная труба 15х15х1,5,  ГОСТ 8639-82*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</si>
  <si>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</si>
  <si>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</si>
  <si>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</si>
  <si>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</si>
  <si>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</si>
  <si>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</si>
  <si>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</si>
  <si>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</si>
  <si>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</si>
  <si>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Изготовление и монтаж металлоконструкций лестниц ЛМ1, ЛМ2, ЛМ3 и креплением к существующим ж/б и каменным конструкциям в соответствии с узлами по проекту, с антикоррозионной обработкой и окраской.</t>
  </si>
  <si>
    <t>Швеллер №16У, ГОСТ 8240-97</t>
  </si>
  <si>
    <t>Угол 50х4,5 ГОСТ 8509-93</t>
  </si>
  <si>
    <t>Сталь ПВЛ 406, ГОСТ 8706-78</t>
  </si>
  <si>
    <t>Полоса -20х140, ГОСТ 103-2006</t>
  </si>
  <si>
    <t>Профильная труба 30х30х2,5 п.м., ГОСТ 10704-91</t>
  </si>
  <si>
    <t>Профильная труба 15х15х1,5 п.м., ГОСТ 10704-91</t>
  </si>
  <si>
    <t>Полоса 40х4 п.м., ГОСТ 103-2006</t>
  </si>
  <si>
    <t>Изготовление и монтаж металлоконструкций ограждений кровли Ог43, Ог44, Ог45 и креплением к существующим ж/б и каменным конструкциям в соответствии с узлами по проекту, с антикоррозионной обработкой и окраской.</t>
  </si>
  <si>
    <t>8.1</t>
  </si>
  <si>
    <t>8.2</t>
  </si>
  <si>
    <t>8.3</t>
  </si>
  <si>
    <t>8.4</t>
  </si>
  <si>
    <t>8.5</t>
  </si>
  <si>
    <t>Профильная труба 50х25х3, п.м., ГОСТ 30245-2012</t>
  </si>
  <si>
    <t>Профильная труба 20х20х1,5, п.м., ГОСТ 8639-82*</t>
  </si>
  <si>
    <t>Профильная труба 40х40х4, п.м., ГОСТ 8639-82*</t>
  </si>
  <si>
    <t>Полоса 6х60 L=120, ГОСТ 103-2006</t>
  </si>
  <si>
    <t>Труба 25х25х2, L=480, ГОСТ 8639-82*</t>
  </si>
  <si>
    <t>Лист  4х100х270, ГОСТ 103-2006</t>
  </si>
  <si>
    <t>10.4</t>
  </si>
  <si>
    <t>Петля</t>
  </si>
  <si>
    <t>10.5</t>
  </si>
  <si>
    <t>Ведомость объемов работ</t>
  </si>
  <si>
    <t>Многоквартирная жилая застройка с помещениями общественного назначения в кадастровом квартале 69:40:0200180 по ул. Левитана 
г. Твери. 10-ти этажные жилые дома с помещениями общественного назначения - Четвертый этап строительства (поз.3)».</t>
  </si>
  <si>
    <t>на изготовление и монтаж металлоконструкций ограждений лоджий и балконов, кровли, лестничных маршей, аварийных люков и лестниц, декоративных элементов фасада на объекте:</t>
  </si>
  <si>
    <t>2. Все работы выполняются в соответствии с проектом 480-3-АС1, 480-3-АС2.1, 480-3-АС2.2, 480-3-АС2.3, 480-3-АС3, 480-3-АС4, 480-3-АС5</t>
  </si>
  <si>
    <t>Наименование контрагента</t>
  </si>
  <si>
    <t>ИНН</t>
  </si>
  <si>
    <t>Адрес (юр., факт.)</t>
  </si>
  <si>
    <t>ФИО руководителя</t>
  </si>
  <si>
    <t>Контактное лицо (ФИО, должность, моб. телефон, почта)</t>
  </si>
  <si>
    <t>Телефон компании</t>
  </si>
  <si>
    <t>Электронный адрес компании</t>
  </si>
  <si>
    <t>Сайт компании</t>
  </si>
  <si>
    <t>Дополнительная информация</t>
  </si>
  <si>
    <t>Общий срок выполнения работ, календарных дней</t>
  </si>
  <si>
    <t>Необходимое авансирование, руб.:</t>
  </si>
  <si>
    <t xml:space="preserve"> - аванс на мобилизацию:</t>
  </si>
  <si>
    <t xml:space="preserve"> - аванс на материалы (оплата по распредписьмам) :</t>
  </si>
  <si>
    <t>Срок возврата 5% гарантийного удержания</t>
  </si>
  <si>
    <t>Готовность выхода на строительную площадку по гарантийному письму</t>
  </si>
  <si>
    <t>да/нет (выбрать нужное)</t>
  </si>
  <si>
    <t>Согласие с формой договора</t>
  </si>
  <si>
    <t>Согласие с подписанием по ЭДО</t>
  </si>
  <si>
    <t>Гарантийный срок , мес</t>
  </si>
  <si>
    <t>СРО</t>
  </si>
  <si>
    <t>№ ___ от _____ (__ уровень)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</si>
</sst>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#,##0.00&quot;р.&quot;;[Red]#,##0.00&quot;р.&quot;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7" fillId="0" borderId="0"/>
    <xf numFmtId="0" fontId="1" fillId="0" borderId="0"/>
  </cellStyleXfs>
  <cellXfs count="191">
    <xf numFmtId="0" fontId="0" fillId="0" borderId="0" xfId="0"/>
    <xf numFmtId="2" fontId="5" fillId="0" borderId="1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 wrapText="1"/>
    </xf>
    <xf numFmtId="2" fontId="5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7" fillId="0" borderId="0" xfId="0" applyFont="1"/>
    <xf numFmtId="0" fontId="5" fillId="0" borderId="2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wrapText="1"/>
    </xf>
    <xf numFmtId="43" fontId="4" fillId="2" borderId="27" xfId="1" applyFont="1" applyFill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center" vertical="center" wrapText="1"/>
    </xf>
    <xf numFmtId="43" fontId="4" fillId="2" borderId="9" xfId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3" borderId="16" xfId="0" applyFill="1" applyBorder="1" applyAlignment="1">
      <alignment vertical="center"/>
    </xf>
    <xf numFmtId="0" fontId="3" fillId="3" borderId="5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8" fillId="2" borderId="17" xfId="0" applyFont="1" applyFill="1" applyBorder="1" applyAlignment="1">
      <alignment horizontal="right" vertical="center"/>
    </xf>
    <xf numFmtId="4" fontId="0" fillId="2" borderId="4" xfId="0" applyNumberFormat="1" applyFont="1" applyFill="1" applyBorder="1" applyAlignment="1">
      <alignment vertical="center"/>
    </xf>
    <xf numFmtId="4" fontId="0" fillId="2" borderId="5" xfId="0" applyNumberFormat="1" applyFont="1" applyFill="1" applyBorder="1" applyAlignment="1">
      <alignment vertical="center"/>
    </xf>
    <xf numFmtId="4" fontId="0" fillId="2" borderId="44" xfId="0" applyNumberFormat="1" applyFont="1" applyFill="1" applyBorder="1" applyAlignment="1">
      <alignment vertical="center"/>
    </xf>
    <xf numFmtId="4" fontId="0" fillId="2" borderId="43" xfId="0" applyNumberFormat="1" applyFont="1" applyFill="1" applyBorder="1" applyAlignment="1">
      <alignment vertical="center"/>
    </xf>
    <xf numFmtId="4" fontId="0" fillId="2" borderId="45" xfId="0" applyNumberFormat="1" applyFont="1" applyFill="1" applyBorder="1" applyAlignment="1">
      <alignment vertical="center"/>
    </xf>
    <xf numFmtId="0" fontId="0" fillId="0" borderId="0" xfId="0" applyFont="1"/>
    <xf numFmtId="0" fontId="5" fillId="0" borderId="12" xfId="0" applyFont="1" applyBorder="1" applyAlignment="1">
      <alignment horizontal="left" vertical="top" wrapText="1"/>
    </xf>
    <xf numFmtId="0" fontId="0" fillId="2" borderId="16" xfId="0" applyFont="1" applyFill="1" applyBorder="1" applyAlignment="1">
      <alignment vertical="center"/>
    </xf>
    <xf numFmtId="0" fontId="0" fillId="2" borderId="13" xfId="0" applyFont="1" applyFill="1" applyBorder="1" applyAlignment="1">
      <alignment vertical="center"/>
    </xf>
    <xf numFmtId="0" fontId="0" fillId="2" borderId="14" xfId="0" applyFont="1" applyFill="1" applyBorder="1" applyAlignment="1">
      <alignment vertical="center"/>
    </xf>
    <xf numFmtId="4" fontId="11" fillId="2" borderId="25" xfId="0" applyNumberFormat="1" applyFont="1" applyFill="1" applyBorder="1" applyAlignment="1">
      <alignment vertical="center"/>
    </xf>
    <xf numFmtId="0" fontId="11" fillId="0" borderId="0" xfId="0" applyFont="1"/>
    <xf numFmtId="4" fontId="0" fillId="3" borderId="3" xfId="0" applyNumberFormat="1" applyFont="1" applyFill="1" applyBorder="1" applyAlignment="1">
      <alignment vertical="center"/>
    </xf>
    <xf numFmtId="4" fontId="0" fillId="3" borderId="46" xfId="0" applyNumberFormat="1" applyFont="1" applyFill="1" applyBorder="1" applyAlignment="1">
      <alignment vertical="center"/>
    </xf>
    <xf numFmtId="4" fontId="11" fillId="3" borderId="48" xfId="0" applyNumberFormat="1" applyFont="1" applyFill="1" applyBorder="1" applyAlignment="1">
      <alignment vertical="center"/>
    </xf>
    <xf numFmtId="4" fontId="11" fillId="3" borderId="49" xfId="0" applyNumberFormat="1" applyFont="1" applyFill="1" applyBorder="1" applyAlignment="1">
      <alignment vertical="center"/>
    </xf>
    <xf numFmtId="4" fontId="11" fillId="3" borderId="24" xfId="0" applyNumberFormat="1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54" xfId="0" applyFont="1" applyFill="1" applyBorder="1" applyAlignment="1">
      <alignment horizontal="left" vertical="center" wrapText="1"/>
    </xf>
    <xf numFmtId="4" fontId="11" fillId="2" borderId="38" xfId="0" applyNumberFormat="1" applyFont="1" applyFill="1" applyBorder="1" applyAlignment="1">
      <alignment vertical="center"/>
    </xf>
    <xf numFmtId="4" fontId="11" fillId="3" borderId="40" xfId="0" applyNumberFormat="1" applyFont="1" applyFill="1" applyBorder="1" applyAlignment="1">
      <alignment vertical="center"/>
    </xf>
    <xf numFmtId="4" fontId="11" fillId="2" borderId="41" xfId="0" applyNumberFormat="1" applyFont="1" applyFill="1" applyBorder="1" applyAlignment="1">
      <alignment vertical="center"/>
    </xf>
    <xf numFmtId="49" fontId="10" fillId="0" borderId="22" xfId="0" applyNumberFormat="1" applyFont="1" applyBorder="1" applyAlignment="1">
      <alignment horizontal="center" vertical="center"/>
    </xf>
    <xf numFmtId="49" fontId="10" fillId="0" borderId="31" xfId="0" applyNumberFormat="1" applyFont="1" applyBorder="1" applyAlignment="1">
      <alignment horizontal="center" vertical="center"/>
    </xf>
    <xf numFmtId="0" fontId="10" fillId="0" borderId="55" xfId="0" applyFont="1" applyFill="1" applyBorder="1" applyAlignment="1">
      <alignment horizontal="left" vertical="center" wrapText="1"/>
    </xf>
    <xf numFmtId="0" fontId="10" fillId="0" borderId="57" xfId="0" applyFont="1" applyFill="1" applyBorder="1" applyAlignment="1">
      <alignment horizontal="left" vertical="center" wrapText="1"/>
    </xf>
    <xf numFmtId="164" fontId="10" fillId="0" borderId="23" xfId="0" applyNumberFormat="1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4" fontId="0" fillId="3" borderId="36" xfId="0" applyNumberFormat="1" applyFont="1" applyFill="1" applyBorder="1" applyAlignment="1">
      <alignment vertical="center"/>
    </xf>
    <xf numFmtId="164" fontId="10" fillId="0" borderId="22" xfId="0" applyNumberFormat="1" applyFont="1" applyFill="1" applyBorder="1" applyAlignment="1">
      <alignment horizontal="center" vertical="center"/>
    </xf>
    <xf numFmtId="164" fontId="10" fillId="0" borderId="31" xfId="0" applyNumberFormat="1" applyFont="1" applyFill="1" applyBorder="1" applyAlignment="1">
      <alignment horizontal="center" vertical="center"/>
    </xf>
    <xf numFmtId="4" fontId="11" fillId="2" borderId="37" xfId="0" applyNumberFormat="1" applyFont="1" applyFill="1" applyBorder="1" applyAlignment="1">
      <alignment vertical="center"/>
    </xf>
    <xf numFmtId="4" fontId="11" fillId="2" borderId="39" xfId="0" applyNumberFormat="1" applyFont="1" applyFill="1" applyBorder="1" applyAlignment="1">
      <alignment vertical="center"/>
    </xf>
    <xf numFmtId="4" fontId="11" fillId="2" borderId="30" xfId="0" applyNumberFormat="1" applyFont="1" applyFill="1" applyBorder="1" applyAlignment="1">
      <alignment vertical="center"/>
    </xf>
    <xf numFmtId="0" fontId="5" fillId="0" borderId="2" xfId="0" applyNumberFormat="1" applyFont="1" applyBorder="1" applyAlignment="1">
      <alignment horizontal="center" vertical="center"/>
    </xf>
    <xf numFmtId="4" fontId="0" fillId="4" borderId="36" xfId="0" applyNumberFormat="1" applyFont="1" applyFill="1" applyBorder="1" applyAlignment="1">
      <alignment vertical="center"/>
    </xf>
    <xf numFmtId="4" fontId="0" fillId="4" borderId="4" xfId="0" applyNumberFormat="1" applyFont="1" applyFill="1" applyBorder="1" applyAlignment="1">
      <alignment vertical="center"/>
    </xf>
    <xf numFmtId="4" fontId="11" fillId="4" borderId="37" xfId="0" applyNumberFormat="1" applyFont="1" applyFill="1" applyBorder="1" applyAlignment="1">
      <alignment vertical="center"/>
    </xf>
    <xf numFmtId="4" fontId="11" fillId="4" borderId="39" xfId="0" applyNumberFormat="1" applyFont="1" applyFill="1" applyBorder="1" applyAlignment="1">
      <alignment vertical="center"/>
    </xf>
    <xf numFmtId="4" fontId="11" fillId="4" borderId="23" xfId="0" applyNumberFormat="1" applyFont="1" applyFill="1" applyBorder="1" applyAlignment="1">
      <alignment vertical="center"/>
    </xf>
    <xf numFmtId="4" fontId="11" fillId="4" borderId="42" xfId="0" applyNumberFormat="1" applyFont="1" applyFill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wrapText="1"/>
    </xf>
    <xf numFmtId="164" fontId="0" fillId="0" borderId="0" xfId="0" applyNumberFormat="1" applyFont="1"/>
    <xf numFmtId="164" fontId="5" fillId="0" borderId="2" xfId="0" applyNumberFormat="1" applyFont="1" applyFill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0" fillId="0" borderId="19" xfId="0" applyFont="1" applyFill="1" applyBorder="1" applyAlignment="1">
      <alignment horizontal="left" vertical="center" wrapText="1"/>
    </xf>
    <xf numFmtId="0" fontId="10" fillId="0" borderId="34" xfId="0" applyFont="1" applyFill="1" applyBorder="1" applyAlignment="1">
      <alignment horizontal="left" vertical="center" wrapText="1"/>
    </xf>
    <xf numFmtId="164" fontId="5" fillId="0" borderId="21" xfId="0" applyNumberFormat="1" applyFont="1" applyFill="1" applyBorder="1" applyAlignment="1">
      <alignment horizontal="center" vertical="center"/>
    </xf>
    <xf numFmtId="164" fontId="10" fillId="0" borderId="21" xfId="0" applyNumberFormat="1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34" xfId="0" applyFont="1" applyFill="1" applyBorder="1" applyAlignment="1">
      <alignment horizontal="center" vertical="center"/>
    </xf>
    <xf numFmtId="164" fontId="10" fillId="0" borderId="19" xfId="0" applyNumberFormat="1" applyFont="1" applyFill="1" applyBorder="1" applyAlignment="1">
      <alignment horizontal="center" vertical="center"/>
    </xf>
    <xf numFmtId="164" fontId="10" fillId="0" borderId="34" xfId="0" applyNumberFormat="1" applyFont="1" applyFill="1" applyBorder="1" applyAlignment="1">
      <alignment horizontal="center" vertical="center"/>
    </xf>
    <xf numFmtId="4" fontId="11" fillId="2" borderId="28" xfId="0" applyNumberFormat="1" applyFont="1" applyFill="1" applyBorder="1" applyAlignment="1">
      <alignment vertical="center"/>
    </xf>
    <xf numFmtId="164" fontId="10" fillId="0" borderId="18" xfId="0" applyNumberFormat="1" applyFont="1" applyFill="1" applyBorder="1" applyAlignment="1">
      <alignment horizontal="center" vertical="center"/>
    </xf>
    <xf numFmtId="4" fontId="11" fillId="4" borderId="47" xfId="0" applyNumberFormat="1" applyFont="1" applyFill="1" applyBorder="1" applyAlignment="1">
      <alignment vertical="center"/>
    </xf>
    <xf numFmtId="4" fontId="11" fillId="3" borderId="8" xfId="0" applyNumberFormat="1" applyFont="1" applyFill="1" applyBorder="1" applyAlignment="1">
      <alignment vertical="center"/>
    </xf>
    <xf numFmtId="4" fontId="11" fillId="2" borderId="9" xfId="0" applyNumberFormat="1" applyFont="1" applyFill="1" applyBorder="1" applyAlignment="1">
      <alignment vertical="center"/>
    </xf>
    <xf numFmtId="4" fontId="11" fillId="2" borderId="47" xfId="0" applyNumberFormat="1" applyFont="1" applyFill="1" applyBorder="1" applyAlignment="1">
      <alignment vertical="center"/>
    </xf>
    <xf numFmtId="4" fontId="11" fillId="4" borderId="28" xfId="0" applyNumberFormat="1" applyFont="1" applyFill="1" applyBorder="1" applyAlignment="1">
      <alignment vertical="center"/>
    </xf>
    <xf numFmtId="4" fontId="11" fillId="3" borderId="29" xfId="0" applyNumberFormat="1" applyFont="1" applyFill="1" applyBorder="1" applyAlignment="1">
      <alignment vertical="center"/>
    </xf>
    <xf numFmtId="164" fontId="5" fillId="0" borderId="35" xfId="0" applyNumberFormat="1" applyFont="1" applyFill="1" applyBorder="1" applyAlignment="1">
      <alignment horizontal="center" vertical="center"/>
    </xf>
    <xf numFmtId="164" fontId="10" fillId="0" borderId="33" xfId="0" applyNumberFormat="1" applyFont="1" applyFill="1" applyBorder="1" applyAlignment="1">
      <alignment horizontal="center" vertical="center"/>
    </xf>
    <xf numFmtId="0" fontId="12" fillId="4" borderId="0" xfId="0" applyFont="1" applyFill="1"/>
    <xf numFmtId="0" fontId="12" fillId="0" borderId="0" xfId="0" applyFont="1"/>
    <xf numFmtId="49" fontId="10" fillId="3" borderId="7" xfId="0" applyNumberFormat="1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164" fontId="10" fillId="3" borderId="7" xfId="0" applyNumberFormat="1" applyFont="1" applyFill="1" applyBorder="1" applyAlignment="1">
      <alignment horizontal="center" vertical="center"/>
    </xf>
    <xf numFmtId="4" fontId="11" fillId="3" borderId="51" xfId="0" applyNumberFormat="1" applyFont="1" applyFill="1" applyBorder="1" applyAlignment="1">
      <alignment vertical="center"/>
    </xf>
    <xf numFmtId="4" fontId="11" fillId="3" borderId="50" xfId="0" applyNumberFormat="1" applyFont="1" applyFill="1" applyBorder="1" applyAlignment="1">
      <alignment vertical="center"/>
    </xf>
    <xf numFmtId="0" fontId="3" fillId="3" borderId="12" xfId="0" applyFont="1" applyFill="1" applyBorder="1" applyAlignment="1">
      <alignment horizontal="left" vertical="top" wrapText="1"/>
    </xf>
    <xf numFmtId="164" fontId="10" fillId="3" borderId="32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4" fontId="0" fillId="3" borderId="14" xfId="0" applyNumberFormat="1" applyFont="1" applyFill="1" applyBorder="1" applyAlignment="1">
      <alignment vertical="center"/>
    </xf>
    <xf numFmtId="4" fontId="0" fillId="3" borderId="17" xfId="0" applyNumberFormat="1" applyFont="1" applyFill="1" applyBorder="1" applyAlignment="1">
      <alignment vertical="center"/>
    </xf>
    <xf numFmtId="0" fontId="10" fillId="0" borderId="22" xfId="0" applyFont="1" applyFill="1" applyBorder="1" applyAlignment="1">
      <alignment horizontal="left" vertical="center" wrapText="1"/>
    </xf>
    <xf numFmtId="4" fontId="0" fillId="2" borderId="14" xfId="0" applyNumberFormat="1" applyFont="1" applyFill="1" applyBorder="1" applyAlignment="1">
      <alignment vertical="center"/>
    </xf>
    <xf numFmtId="4" fontId="0" fillId="2" borderId="17" xfId="0" applyNumberFormat="1" applyFont="1" applyFill="1" applyBorder="1" applyAlignment="1">
      <alignment vertical="center"/>
    </xf>
    <xf numFmtId="49" fontId="5" fillId="3" borderId="11" xfId="0" applyNumberFormat="1" applyFont="1" applyFill="1" applyBorder="1" applyAlignment="1">
      <alignment horizontal="center" vertical="center"/>
    </xf>
    <xf numFmtId="4" fontId="0" fillId="3" borderId="13" xfId="0" applyNumberFormat="1" applyFont="1" applyFill="1" applyBorder="1" applyAlignment="1">
      <alignment vertical="center"/>
    </xf>
    <xf numFmtId="164" fontId="5" fillId="3" borderId="11" xfId="0" applyNumberFormat="1" applyFont="1" applyFill="1" applyBorder="1" applyAlignment="1">
      <alignment horizontal="center" vertical="center"/>
    </xf>
    <xf numFmtId="4" fontId="0" fillId="3" borderId="15" xfId="0" applyNumberFormat="1" applyFont="1" applyFill="1" applyBorder="1" applyAlignment="1">
      <alignment vertical="center"/>
    </xf>
    <xf numFmtId="4" fontId="0" fillId="3" borderId="16" xfId="0" applyNumberFormat="1" applyFont="1" applyFill="1" applyBorder="1" applyAlignment="1">
      <alignment vertical="center"/>
    </xf>
    <xf numFmtId="164" fontId="5" fillId="3" borderId="12" xfId="0" applyNumberFormat="1" applyFont="1" applyFill="1" applyBorder="1" applyAlignment="1">
      <alignment horizontal="center" vertical="center"/>
    </xf>
    <xf numFmtId="49" fontId="5" fillId="3" borderId="10" xfId="0" applyNumberFormat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left" vertical="top" wrapText="1"/>
    </xf>
    <xf numFmtId="49" fontId="5" fillId="0" borderId="11" xfId="0" applyNumberFormat="1" applyFont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164" fontId="5" fillId="0" borderId="11" xfId="0" applyNumberFormat="1" applyFont="1" applyFill="1" applyBorder="1" applyAlignment="1">
      <alignment horizontal="center" vertical="center"/>
    </xf>
    <xf numFmtId="4" fontId="0" fillId="2" borderId="16" xfId="0" applyNumberFormat="1" applyFont="1" applyFill="1" applyBorder="1" applyAlignment="1">
      <alignment vertical="center"/>
    </xf>
    <xf numFmtId="43" fontId="4" fillId="2" borderId="27" xfId="1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left" vertical="center" wrapText="1"/>
    </xf>
    <xf numFmtId="0" fontId="10" fillId="0" borderId="20" xfId="0" applyFont="1" applyFill="1" applyBorder="1" applyAlignment="1">
      <alignment horizontal="left" vertical="center" wrapText="1"/>
    </xf>
    <xf numFmtId="0" fontId="3" fillId="3" borderId="52" xfId="0" applyFont="1" applyFill="1" applyBorder="1" applyAlignment="1">
      <alignment horizontal="left" vertical="top" wrapText="1"/>
    </xf>
    <xf numFmtId="49" fontId="5" fillId="0" borderId="19" xfId="0" applyNumberFormat="1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10" fillId="0" borderId="19" xfId="0" applyNumberFormat="1" applyFont="1" applyFill="1" applyBorder="1" applyAlignment="1">
      <alignment horizontal="center" vertical="center"/>
    </xf>
    <xf numFmtId="49" fontId="10" fillId="0" borderId="34" xfId="0" applyNumberFormat="1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164" fontId="0" fillId="0" borderId="0" xfId="0" applyNumberFormat="1"/>
    <xf numFmtId="4" fontId="8" fillId="3" borderId="51" xfId="0" applyNumberFormat="1" applyFont="1" applyFill="1" applyBorder="1" applyAlignment="1">
      <alignment vertical="center"/>
    </xf>
    <xf numFmtId="4" fontId="8" fillId="3" borderId="17" xfId="0" applyNumberFormat="1" applyFont="1" applyFill="1" applyBorder="1" applyAlignment="1">
      <alignment vertical="center"/>
    </xf>
    <xf numFmtId="0" fontId="11" fillId="0" borderId="0" xfId="0" applyFont="1" applyFill="1"/>
    <xf numFmtId="49" fontId="10" fillId="0" borderId="22" xfId="0" applyNumberFormat="1" applyFont="1" applyFill="1" applyBorder="1" applyAlignment="1">
      <alignment horizontal="center" vertical="center"/>
    </xf>
    <xf numFmtId="164" fontId="10" fillId="0" borderId="48" xfId="0" applyNumberFormat="1" applyFont="1" applyFill="1" applyBorder="1" applyAlignment="1">
      <alignment horizontal="center" vertical="center"/>
    </xf>
    <xf numFmtId="2" fontId="10" fillId="0" borderId="34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4" fontId="8" fillId="2" borderId="28" xfId="0" applyNumberFormat="1" applyFont="1" applyFill="1" applyBorder="1" applyAlignment="1">
      <alignment vertical="center"/>
    </xf>
    <xf numFmtId="4" fontId="8" fillId="2" borderId="29" xfId="0" applyNumberFormat="1" applyFont="1" applyFill="1" applyBorder="1" applyAlignment="1">
      <alignment vertical="center"/>
    </xf>
    <xf numFmtId="4" fontId="8" fillId="2" borderId="30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43" fontId="4" fillId="2" borderId="36" xfId="1" applyFont="1" applyFill="1" applyBorder="1" applyAlignment="1">
      <alignment horizontal="center" vertical="center" wrapText="1"/>
    </xf>
    <xf numFmtId="43" fontId="4" fillId="2" borderId="4" xfId="1" applyFont="1" applyFill="1" applyBorder="1" applyAlignment="1">
      <alignment horizontal="center" vertical="center" wrapText="1"/>
    </xf>
    <xf numFmtId="43" fontId="4" fillId="2" borderId="5" xfId="1" applyFont="1" applyFill="1" applyBorder="1" applyAlignment="1">
      <alignment horizontal="center" vertical="center" wrapText="1"/>
    </xf>
    <xf numFmtId="43" fontId="4" fillId="2" borderId="36" xfId="1" applyFont="1" applyFill="1" applyBorder="1" applyAlignment="1">
      <alignment horizontal="center" vertical="center"/>
    </xf>
    <xf numFmtId="43" fontId="4" fillId="2" borderId="4" xfId="1" applyFont="1" applyFill="1" applyBorder="1" applyAlignment="1">
      <alignment horizontal="center" vertical="center"/>
    </xf>
    <xf numFmtId="43" fontId="4" fillId="2" borderId="5" xfId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58" xfId="0" applyFont="1" applyBorder="1" applyAlignment="1">
      <alignment horizontal="left" vertical="center" wrapText="1"/>
    </xf>
    <xf numFmtId="0" fontId="14" fillId="0" borderId="55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left" vertical="center" wrapText="1"/>
    </xf>
    <xf numFmtId="0" fontId="14" fillId="5" borderId="58" xfId="0" applyFont="1" applyFill="1" applyBorder="1" applyAlignment="1">
      <alignment horizontal="left" vertical="center" wrapText="1"/>
    </xf>
    <xf numFmtId="0" fontId="14" fillId="5" borderId="55" xfId="0" applyFont="1" applyFill="1" applyBorder="1" applyAlignment="1">
      <alignment horizontal="left" vertical="center" wrapText="1"/>
    </xf>
    <xf numFmtId="0" fontId="14" fillId="5" borderId="23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4" fillId="0" borderId="59" xfId="0" applyFont="1" applyBorder="1" applyAlignment="1">
      <alignment horizontal="left" vertical="center" wrapText="1"/>
    </xf>
    <xf numFmtId="0" fontId="14" fillId="0" borderId="57" xfId="0" applyFont="1" applyBorder="1" applyAlignment="1">
      <alignment horizontal="left" vertical="center" wrapText="1"/>
    </xf>
    <xf numFmtId="0" fontId="14" fillId="0" borderId="42" xfId="0" applyFont="1" applyBorder="1" applyAlignment="1">
      <alignment horizontal="left" vertical="center" wrapText="1"/>
    </xf>
    <xf numFmtId="0" fontId="14" fillId="5" borderId="59" xfId="0" applyFont="1" applyFill="1" applyBorder="1" applyAlignment="1">
      <alignment horizontal="left" vertical="center" wrapText="1"/>
    </xf>
    <xf numFmtId="0" fontId="14" fillId="5" borderId="57" xfId="0" applyFont="1" applyFill="1" applyBorder="1" applyAlignment="1">
      <alignment horizontal="left" vertical="center" wrapText="1"/>
    </xf>
    <xf numFmtId="0" fontId="14" fillId="5" borderId="42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4" fillId="0" borderId="24" xfId="0" applyFont="1" applyBorder="1" applyAlignment="1">
      <alignment horizontal="left" vertical="center" wrapText="1"/>
    </xf>
    <xf numFmtId="0" fontId="14" fillId="5" borderId="24" xfId="0" applyFont="1" applyFill="1" applyBorder="1" applyAlignment="1">
      <alignment horizontal="left" vertical="center" wrapText="1"/>
    </xf>
    <xf numFmtId="49" fontId="15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16" fillId="0" borderId="0" xfId="0" applyFont="1" applyAlignment="1">
      <alignment vertical="center" wrapText="1" shrinkToFit="1"/>
    </xf>
    <xf numFmtId="165" fontId="16" fillId="0" borderId="0" xfId="0" applyNumberFormat="1" applyFont="1" applyAlignment="1">
      <alignment vertical="center" wrapText="1" shrinkToFit="1"/>
    </xf>
    <xf numFmtId="4" fontId="18" fillId="0" borderId="0" xfId="2" applyNumberFormat="1" applyFont="1" applyAlignment="1">
      <alignment horizontal="left" vertical="center"/>
    </xf>
    <xf numFmtId="0" fontId="18" fillId="0" borderId="0" xfId="3" applyFont="1"/>
    <xf numFmtId="2" fontId="16" fillId="0" borderId="0" xfId="0" applyNumberFormat="1" applyFont="1" applyAlignment="1">
      <alignment vertical="center" wrapText="1" shrinkToFit="1"/>
    </xf>
    <xf numFmtId="0" fontId="16" fillId="0" borderId="0" xfId="0" applyFont="1"/>
    <xf numFmtId="49" fontId="16" fillId="0" borderId="0" xfId="0" applyNumberFormat="1" applyFont="1" applyAlignment="1">
      <alignment horizontal="center" vertical="center" wrapText="1"/>
    </xf>
    <xf numFmtId="0" fontId="19" fillId="0" borderId="24" xfId="0" applyFont="1" applyBorder="1" applyAlignment="1">
      <alignment vertical="center" wrapText="1" shrinkToFit="1"/>
    </xf>
    <xf numFmtId="0" fontId="16" fillId="5" borderId="24" xfId="0" applyFont="1" applyFill="1" applyBorder="1" applyAlignment="1">
      <alignment horizontal="center" vertical="center" wrapText="1" shrinkToFit="1"/>
    </xf>
    <xf numFmtId="49" fontId="19" fillId="0" borderId="0" xfId="0" applyNumberFormat="1" applyFont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 shrinkToFit="1"/>
    </xf>
    <xf numFmtId="0" fontId="19" fillId="0" borderId="0" xfId="0" applyFont="1"/>
    <xf numFmtId="0" fontId="19" fillId="0" borderId="24" xfId="0" applyFont="1" applyBorder="1" applyAlignment="1">
      <alignment horizontal="right" vertical="center" wrapText="1" shrinkToFit="1"/>
    </xf>
    <xf numFmtId="0" fontId="19" fillId="0" borderId="24" xfId="0" applyFont="1" applyBorder="1" applyAlignment="1">
      <alignment vertical="top"/>
    </xf>
    <xf numFmtId="0" fontId="19" fillId="0" borderId="0" xfId="0" applyFont="1" applyAlignment="1">
      <alignment vertical="top"/>
    </xf>
    <xf numFmtId="0" fontId="19" fillId="0" borderId="24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wrapText="1"/>
    </xf>
  </cellXfs>
  <cellStyles count="4">
    <cellStyle name="Обычный" xfId="0" builtinId="0"/>
    <cellStyle name="Обычный 2" xfId="3" xr:uid="{7E1671A7-58CB-411D-9802-0275FE858DBD}"/>
    <cellStyle name="Обычный 2 2" xfId="2" xr:uid="{168CF21D-EA32-4915-BABC-7DFCAD28D466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14"/>
  <sheetViews>
    <sheetView tabSelected="1" topLeftCell="A90" zoomScale="85" zoomScaleNormal="85" workbookViewId="0">
      <selection activeCell="L15" sqref="L15"/>
    </sheetView>
  </sheetViews>
  <sheetFormatPr defaultRowHeight="15" x14ac:dyDescent="0.25"/>
  <cols>
    <col min="1" max="1" width="9.140625" style="6"/>
    <col min="2" max="2" width="68.85546875" style="6" customWidth="1"/>
    <col min="3" max="4" width="9.140625" style="6"/>
    <col min="5" max="6" width="12.7109375" customWidth="1"/>
    <col min="7" max="8" width="12.140625" customWidth="1"/>
    <col min="9" max="12" width="14.85546875" customWidth="1"/>
  </cols>
  <sheetData>
    <row r="1" spans="1:45" ht="18.75" x14ac:dyDescent="0.25">
      <c r="A1" s="138" t="s">
        <v>161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</row>
    <row r="2" spans="1:45" ht="41.25" customHeight="1" x14ac:dyDescent="0.25">
      <c r="A2" s="139" t="s">
        <v>163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</row>
    <row r="3" spans="1:45" s="5" customFormat="1" ht="42.75" customHeight="1" x14ac:dyDescent="0.25">
      <c r="A3" s="166" t="s">
        <v>162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</row>
    <row r="4" spans="1:45" s="5" customFormat="1" ht="15.75" customHeight="1" x14ac:dyDescent="0.25">
      <c r="A4" s="167"/>
      <c r="B4" s="167"/>
      <c r="C4" s="167"/>
      <c r="D4" s="167"/>
      <c r="E4" s="169" t="s">
        <v>165</v>
      </c>
      <c r="F4" s="169"/>
      <c r="G4" s="169"/>
      <c r="H4" s="169"/>
      <c r="I4" s="170"/>
      <c r="J4" s="170"/>
      <c r="K4" s="170"/>
      <c r="L4" s="170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</row>
    <row r="5" spans="1:45" s="5" customFormat="1" ht="15.75" customHeight="1" x14ac:dyDescent="0.25">
      <c r="A5" s="167"/>
      <c r="B5" s="167"/>
      <c r="C5" s="167"/>
      <c r="D5" s="167"/>
      <c r="E5" s="169" t="s">
        <v>166</v>
      </c>
      <c r="F5" s="169"/>
      <c r="G5" s="169"/>
      <c r="H5" s="169"/>
      <c r="I5" s="170"/>
      <c r="J5" s="170"/>
      <c r="K5" s="170"/>
      <c r="L5" s="170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  <c r="AP5" s="168"/>
      <c r="AQ5" s="168"/>
      <c r="AR5" s="168"/>
      <c r="AS5" s="168"/>
    </row>
    <row r="6" spans="1:45" ht="15.75" customHeight="1" x14ac:dyDescent="0.25">
      <c r="A6" s="152"/>
      <c r="B6" s="152"/>
      <c r="C6" s="152"/>
      <c r="D6" s="152"/>
      <c r="E6" s="169" t="s">
        <v>167</v>
      </c>
      <c r="F6" s="169"/>
      <c r="G6" s="169"/>
      <c r="H6" s="169"/>
      <c r="I6" s="170"/>
      <c r="J6" s="170"/>
      <c r="K6" s="170"/>
      <c r="L6" s="170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59"/>
      <c r="Z6" s="159"/>
      <c r="AA6" s="159"/>
      <c r="AB6" s="159"/>
      <c r="AC6" s="159"/>
      <c r="AD6" s="159"/>
      <c r="AE6" s="159"/>
      <c r="AF6" s="159"/>
      <c r="AG6" s="159"/>
      <c r="AH6" s="159"/>
      <c r="AI6" s="159"/>
      <c r="AJ6" s="159"/>
      <c r="AK6" s="159"/>
      <c r="AL6" s="159"/>
      <c r="AM6" s="159"/>
      <c r="AN6" s="159"/>
      <c r="AO6" s="159"/>
      <c r="AP6" s="159"/>
      <c r="AQ6" s="159"/>
      <c r="AR6" s="159"/>
      <c r="AS6" s="159"/>
    </row>
    <row r="7" spans="1:45" ht="15.75" customHeight="1" x14ac:dyDescent="0.25">
      <c r="A7" s="152"/>
      <c r="B7" s="152"/>
      <c r="C7" s="152"/>
      <c r="D7" s="152"/>
      <c r="E7" s="169" t="s">
        <v>168</v>
      </c>
      <c r="F7" s="169"/>
      <c r="G7" s="169"/>
      <c r="H7" s="169"/>
      <c r="I7" s="170"/>
      <c r="J7" s="170"/>
      <c r="K7" s="170"/>
      <c r="L7" s="170"/>
      <c r="M7" s="159"/>
      <c r="N7" s="159"/>
      <c r="O7" s="159"/>
      <c r="P7" s="159"/>
      <c r="Q7" s="159"/>
      <c r="R7" s="159"/>
      <c r="S7" s="159"/>
      <c r="T7" s="159"/>
      <c r="U7" s="159"/>
      <c r="V7" s="159"/>
      <c r="W7" s="159"/>
      <c r="X7" s="159"/>
      <c r="Y7" s="159"/>
      <c r="Z7" s="159"/>
      <c r="AA7" s="159"/>
      <c r="AB7" s="159"/>
      <c r="AC7" s="159"/>
      <c r="AD7" s="159"/>
      <c r="AE7" s="159"/>
      <c r="AF7" s="159"/>
      <c r="AG7" s="159"/>
      <c r="AH7" s="159"/>
      <c r="AI7" s="159"/>
      <c r="AJ7" s="159"/>
      <c r="AK7" s="159"/>
      <c r="AL7" s="159"/>
      <c r="AM7" s="159"/>
      <c r="AN7" s="159"/>
      <c r="AO7" s="159"/>
      <c r="AP7" s="159"/>
      <c r="AQ7" s="159"/>
      <c r="AR7" s="159"/>
      <c r="AS7" s="159"/>
    </row>
    <row r="8" spans="1:45" ht="15.75" customHeight="1" x14ac:dyDescent="0.25">
      <c r="A8" s="152"/>
      <c r="B8" s="152"/>
      <c r="C8" s="152"/>
      <c r="D8" s="152"/>
      <c r="E8" s="169" t="s">
        <v>169</v>
      </c>
      <c r="F8" s="169"/>
      <c r="G8" s="169"/>
      <c r="H8" s="169"/>
      <c r="I8" s="170"/>
      <c r="J8" s="170"/>
      <c r="K8" s="170"/>
      <c r="L8" s="170"/>
      <c r="M8" s="159"/>
      <c r="N8" s="159"/>
      <c r="O8" s="159"/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  <c r="AG8" s="159"/>
      <c r="AH8" s="159"/>
      <c r="AI8" s="159"/>
      <c r="AJ8" s="159"/>
      <c r="AK8" s="159"/>
      <c r="AL8" s="159"/>
      <c r="AM8" s="159"/>
      <c r="AN8" s="159"/>
      <c r="AO8" s="159"/>
      <c r="AP8" s="159"/>
      <c r="AQ8" s="159"/>
      <c r="AR8" s="159"/>
      <c r="AS8" s="159"/>
    </row>
    <row r="9" spans="1:45" ht="15.75" customHeight="1" x14ac:dyDescent="0.3">
      <c r="A9" s="90"/>
      <c r="B9" s="91" t="s">
        <v>31</v>
      </c>
      <c r="C9" s="152"/>
      <c r="D9" s="152"/>
      <c r="E9" s="153" t="s">
        <v>170</v>
      </c>
      <c r="F9" s="154"/>
      <c r="G9" s="154"/>
      <c r="H9" s="155"/>
      <c r="I9" s="156"/>
      <c r="J9" s="157"/>
      <c r="K9" s="157"/>
      <c r="L9" s="158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59"/>
      <c r="X9" s="159"/>
      <c r="Y9" s="159"/>
      <c r="Z9" s="159"/>
      <c r="AA9" s="159"/>
      <c r="AB9" s="159"/>
      <c r="AC9" s="159"/>
      <c r="AD9" s="159"/>
      <c r="AE9" s="159"/>
      <c r="AF9" s="159"/>
      <c r="AG9" s="159"/>
      <c r="AH9" s="159"/>
      <c r="AI9" s="159"/>
      <c r="AJ9" s="159"/>
      <c r="AK9" s="159"/>
      <c r="AL9" s="159"/>
      <c r="AM9" s="159"/>
      <c r="AN9" s="159"/>
      <c r="AO9" s="159"/>
      <c r="AP9" s="159"/>
      <c r="AQ9" s="159"/>
      <c r="AR9" s="159"/>
      <c r="AS9" s="159"/>
    </row>
    <row r="10" spans="1:45" ht="15.75" customHeight="1" x14ac:dyDescent="0.25">
      <c r="A10" s="152"/>
      <c r="B10" s="152"/>
      <c r="C10" s="152"/>
      <c r="D10" s="152"/>
      <c r="E10" s="153" t="s">
        <v>171</v>
      </c>
      <c r="F10" s="154"/>
      <c r="G10" s="154"/>
      <c r="H10" s="155"/>
      <c r="I10" s="156"/>
      <c r="J10" s="157"/>
      <c r="K10" s="157"/>
      <c r="L10" s="158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9"/>
      <c r="Y10" s="159"/>
      <c r="Z10" s="159"/>
      <c r="AA10" s="159"/>
      <c r="AB10" s="159"/>
      <c r="AC10" s="159"/>
      <c r="AD10" s="159"/>
      <c r="AE10" s="159"/>
      <c r="AF10" s="159"/>
      <c r="AG10" s="159"/>
      <c r="AH10" s="159"/>
      <c r="AI10" s="159"/>
      <c r="AJ10" s="159"/>
      <c r="AK10" s="159"/>
      <c r="AL10" s="159"/>
      <c r="AM10" s="159"/>
      <c r="AN10" s="159"/>
      <c r="AO10" s="159"/>
      <c r="AP10" s="159"/>
      <c r="AQ10" s="159"/>
      <c r="AR10" s="159"/>
      <c r="AS10" s="159"/>
    </row>
    <row r="11" spans="1:45" ht="15.75" customHeight="1" thickBot="1" x14ac:dyDescent="0.3">
      <c r="A11" s="152"/>
      <c r="B11" s="152"/>
      <c r="C11" s="152"/>
      <c r="D11" s="152"/>
      <c r="E11" s="160" t="s">
        <v>172</v>
      </c>
      <c r="F11" s="161"/>
      <c r="G11" s="161"/>
      <c r="H11" s="162"/>
      <c r="I11" s="163"/>
      <c r="J11" s="164"/>
      <c r="K11" s="164"/>
      <c r="L11" s="165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9"/>
      <c r="Y11" s="159"/>
      <c r="Z11" s="159"/>
      <c r="AA11" s="159"/>
      <c r="AB11" s="159"/>
      <c r="AC11" s="159"/>
      <c r="AD11" s="159"/>
      <c r="AE11" s="159"/>
      <c r="AF11" s="159"/>
      <c r="AG11" s="159"/>
      <c r="AH11" s="159"/>
      <c r="AI11" s="159"/>
      <c r="AJ11" s="159"/>
      <c r="AK11" s="159"/>
      <c r="AL11" s="159"/>
      <c r="AM11" s="159"/>
      <c r="AN11" s="159"/>
      <c r="AO11" s="159"/>
      <c r="AP11" s="159"/>
      <c r="AQ11" s="159"/>
      <c r="AR11" s="159"/>
      <c r="AS11" s="159"/>
    </row>
    <row r="12" spans="1:45" ht="37.5" customHeight="1" x14ac:dyDescent="0.25">
      <c r="A12" s="140" t="s">
        <v>0</v>
      </c>
      <c r="B12" s="142" t="s">
        <v>1</v>
      </c>
      <c r="C12" s="140" t="s">
        <v>2</v>
      </c>
      <c r="D12" s="144" t="s">
        <v>3</v>
      </c>
      <c r="E12" s="146" t="s">
        <v>4</v>
      </c>
      <c r="F12" s="146"/>
      <c r="G12" s="147"/>
      <c r="H12" s="148"/>
      <c r="I12" s="149" t="s">
        <v>5</v>
      </c>
      <c r="J12" s="149"/>
      <c r="K12" s="150"/>
      <c r="L12" s="151"/>
    </row>
    <row r="13" spans="1:45" ht="57.75" thickBot="1" x14ac:dyDescent="0.3">
      <c r="A13" s="141"/>
      <c r="B13" s="143"/>
      <c r="C13" s="141"/>
      <c r="D13" s="145"/>
      <c r="E13" s="10" t="s">
        <v>6</v>
      </c>
      <c r="F13" s="118" t="s">
        <v>72</v>
      </c>
      <c r="G13" s="11" t="s">
        <v>7</v>
      </c>
      <c r="H13" s="12" t="s">
        <v>8</v>
      </c>
      <c r="I13" s="10" t="s">
        <v>6</v>
      </c>
      <c r="J13" s="118" t="s">
        <v>72</v>
      </c>
      <c r="K13" s="11" t="s">
        <v>7</v>
      </c>
      <c r="L13" s="12" t="s">
        <v>8</v>
      </c>
    </row>
    <row r="14" spans="1:45" ht="15.75" customHeight="1" thickBot="1" x14ac:dyDescent="0.3">
      <c r="A14" s="19"/>
      <c r="B14" s="97" t="s">
        <v>46</v>
      </c>
      <c r="C14" s="13"/>
      <c r="D14" s="18"/>
      <c r="E14" s="14"/>
      <c r="F14" s="14"/>
      <c r="G14" s="15"/>
      <c r="H14" s="16"/>
      <c r="I14" s="17"/>
      <c r="J14" s="14"/>
      <c r="K14" s="15"/>
      <c r="L14" s="129">
        <f>L15+L16+L17+L18+L19+L20+L21</f>
        <v>0</v>
      </c>
    </row>
    <row r="15" spans="1:45" s="27" customFormat="1" ht="60" customHeight="1" x14ac:dyDescent="0.25">
      <c r="A15" s="39">
        <v>1</v>
      </c>
      <c r="B15" s="40" t="s">
        <v>26</v>
      </c>
      <c r="C15" s="7" t="s">
        <v>11</v>
      </c>
      <c r="D15" s="69">
        <f>((D16+D17+D18)/1.06)*1.01</f>
        <v>21.191900799999999</v>
      </c>
      <c r="E15" s="34"/>
      <c r="F15" s="58"/>
      <c r="G15" s="59"/>
      <c r="H15" s="23">
        <f>E15+F15+G15</f>
        <v>0</v>
      </c>
      <c r="I15" s="35"/>
      <c r="J15" s="24">
        <f>D15*F15</f>
        <v>0</v>
      </c>
      <c r="K15" s="25">
        <f>D15*G15</f>
        <v>0</v>
      </c>
      <c r="L15" s="26">
        <f>SUM(I15:K15)</f>
        <v>0</v>
      </c>
      <c r="O15" s="68"/>
    </row>
    <row r="16" spans="1:45" s="33" customFormat="1" ht="26.25" customHeight="1" x14ac:dyDescent="0.25">
      <c r="A16" s="44" t="s">
        <v>16</v>
      </c>
      <c r="B16" s="46" t="s">
        <v>19</v>
      </c>
      <c r="C16" s="49" t="s">
        <v>11</v>
      </c>
      <c r="D16" s="52">
        <f>((19.64*928)*1.06)/1000</f>
        <v>19.319475200000003</v>
      </c>
      <c r="E16" s="60"/>
      <c r="F16" s="38"/>
      <c r="G16" s="38"/>
      <c r="H16" s="32">
        <f>E16+F16+G16</f>
        <v>0</v>
      </c>
      <c r="I16" s="54">
        <f>H16*D16</f>
        <v>0</v>
      </c>
      <c r="J16" s="38"/>
      <c r="K16" s="38"/>
      <c r="L16" s="41">
        <f>I16+J16+K16</f>
        <v>0</v>
      </c>
    </row>
    <row r="17" spans="1:12" s="33" customFormat="1" ht="26.25" customHeight="1" x14ac:dyDescent="0.25">
      <c r="A17" s="44" t="s">
        <v>17</v>
      </c>
      <c r="B17" s="46" t="s">
        <v>20</v>
      </c>
      <c r="C17" s="49" t="s">
        <v>11</v>
      </c>
      <c r="D17" s="52">
        <f>((1.32*928)*1.06)/1000</f>
        <v>1.2984576000000001</v>
      </c>
      <c r="E17" s="60"/>
      <c r="F17" s="38"/>
      <c r="G17" s="38"/>
      <c r="H17" s="32">
        <f t="shared" ref="H17:H18" si="0">E17+F17+G17</f>
        <v>0</v>
      </c>
      <c r="I17" s="54">
        <f t="shared" ref="I17:I18" si="1">H17*D17</f>
        <v>0</v>
      </c>
      <c r="J17" s="38"/>
      <c r="K17" s="38"/>
      <c r="L17" s="41">
        <f t="shared" ref="L17" si="2">I17+J17+K17</f>
        <v>0</v>
      </c>
    </row>
    <row r="18" spans="1:12" s="33" customFormat="1" ht="26.25" customHeight="1" thickBot="1" x14ac:dyDescent="0.3">
      <c r="A18" s="45" t="s">
        <v>18</v>
      </c>
      <c r="B18" s="47" t="s">
        <v>21</v>
      </c>
      <c r="C18" s="50" t="s">
        <v>11</v>
      </c>
      <c r="D18" s="53">
        <f>((1.65*928)*1.06)/1000</f>
        <v>1.6230719999999998</v>
      </c>
      <c r="E18" s="61"/>
      <c r="F18" s="42"/>
      <c r="G18" s="42"/>
      <c r="H18" s="56">
        <f t="shared" si="0"/>
        <v>0</v>
      </c>
      <c r="I18" s="55">
        <f t="shared" si="1"/>
        <v>0</v>
      </c>
      <c r="J18" s="42"/>
      <c r="K18" s="42"/>
      <c r="L18" s="43">
        <f>I18+J18+K18</f>
        <v>0</v>
      </c>
    </row>
    <row r="19" spans="1:12" s="27" customFormat="1" ht="60" customHeight="1" x14ac:dyDescent="0.25">
      <c r="A19" s="57" t="s">
        <v>23</v>
      </c>
      <c r="B19" s="40" t="s">
        <v>22</v>
      </c>
      <c r="C19" s="7" t="s">
        <v>11</v>
      </c>
      <c r="D19" s="69">
        <f>((D20+D21)/1.06)*1.01</f>
        <v>1.1106667000000001</v>
      </c>
      <c r="E19" s="51"/>
      <c r="F19" s="59"/>
      <c r="G19" s="59"/>
      <c r="H19" s="23">
        <f>E19+F19+G19</f>
        <v>0</v>
      </c>
      <c r="I19" s="34"/>
      <c r="J19" s="22">
        <f>F19*D19</f>
        <v>0</v>
      </c>
      <c r="K19" s="22">
        <f>D19*G19</f>
        <v>0</v>
      </c>
      <c r="L19" s="23">
        <f>I19+J19+K19</f>
        <v>0</v>
      </c>
    </row>
    <row r="20" spans="1:12" s="27" customFormat="1" ht="26.25" customHeight="1" x14ac:dyDescent="0.25">
      <c r="A20" s="44" t="s">
        <v>24</v>
      </c>
      <c r="B20" s="46" t="s">
        <v>29</v>
      </c>
      <c r="C20" s="49" t="s">
        <v>11</v>
      </c>
      <c r="D20" s="52">
        <f>((7.07*121)*1.06)/1000</f>
        <v>0.90679820000000011</v>
      </c>
      <c r="E20" s="62"/>
      <c r="F20" s="38"/>
      <c r="G20" s="38"/>
      <c r="H20" s="32">
        <f>E20+F20+G20</f>
        <v>0</v>
      </c>
      <c r="I20" s="54">
        <f>D20*H20</f>
        <v>0</v>
      </c>
      <c r="J20" s="38"/>
      <c r="K20" s="38"/>
      <c r="L20" s="32">
        <f>I20+J20+K20</f>
        <v>0</v>
      </c>
    </row>
    <row r="21" spans="1:12" s="27" customFormat="1" ht="26.25" customHeight="1" thickBot="1" x14ac:dyDescent="0.3">
      <c r="A21" s="45" t="s">
        <v>25</v>
      </c>
      <c r="B21" s="47" t="s">
        <v>20</v>
      </c>
      <c r="C21" s="50" t="s">
        <v>11</v>
      </c>
      <c r="D21" s="53">
        <f>((1.32*185)*1.06)/1000</f>
        <v>0.25885200000000003</v>
      </c>
      <c r="E21" s="63"/>
      <c r="F21" s="42"/>
      <c r="G21" s="42"/>
      <c r="H21" s="56">
        <f>E21+F21+G21</f>
        <v>0</v>
      </c>
      <c r="I21" s="55">
        <f>D21*H21</f>
        <v>0</v>
      </c>
      <c r="J21" s="42"/>
      <c r="K21" s="42"/>
      <c r="L21" s="56">
        <f t="shared" ref="L21" si="3">I21+J21+K21</f>
        <v>0</v>
      </c>
    </row>
    <row r="22" spans="1:12" s="27" customFormat="1" ht="15.75" customHeight="1" thickBot="1" x14ac:dyDescent="0.3">
      <c r="A22" s="92"/>
      <c r="B22" s="99" t="s">
        <v>47</v>
      </c>
      <c r="C22" s="93"/>
      <c r="D22" s="94"/>
      <c r="E22" s="36"/>
      <c r="F22" s="37"/>
      <c r="G22" s="37"/>
      <c r="H22" s="95"/>
      <c r="I22" s="96"/>
      <c r="J22" s="37"/>
      <c r="K22" s="37"/>
      <c r="L22" s="128">
        <f>L23+L24</f>
        <v>0</v>
      </c>
    </row>
    <row r="23" spans="1:12" s="27" customFormat="1" ht="60" customHeight="1" x14ac:dyDescent="0.25">
      <c r="A23" s="64" t="s">
        <v>27</v>
      </c>
      <c r="B23" s="65" t="s">
        <v>28</v>
      </c>
      <c r="C23" s="7" t="s">
        <v>11</v>
      </c>
      <c r="D23" s="69">
        <f>(D24/1.06)*1.01</f>
        <v>3.3861199400000004</v>
      </c>
      <c r="E23" s="34"/>
      <c r="F23" s="59"/>
      <c r="G23" s="59"/>
      <c r="H23" s="23">
        <f>E23+F23+G23</f>
        <v>0</v>
      </c>
      <c r="I23" s="34"/>
      <c r="J23" s="22">
        <f>F23*D23</f>
        <v>0</v>
      </c>
      <c r="K23" s="22">
        <f>G23*D23</f>
        <v>0</v>
      </c>
      <c r="L23" s="23">
        <f>SUM(I23:K23)</f>
        <v>0</v>
      </c>
    </row>
    <row r="24" spans="1:12" s="27" customFormat="1" ht="26.25" customHeight="1" thickBot="1" x14ac:dyDescent="0.3">
      <c r="A24" s="45" t="s">
        <v>30</v>
      </c>
      <c r="B24" s="66" t="s">
        <v>29</v>
      </c>
      <c r="C24" s="50" t="s">
        <v>11</v>
      </c>
      <c r="D24" s="53">
        <f>((7.07*(460.4+13.8))*1.06)/1000</f>
        <v>3.5537496400000004</v>
      </c>
      <c r="E24" s="61"/>
      <c r="F24" s="42"/>
      <c r="G24" s="42"/>
      <c r="H24" s="43">
        <f>E24+F24+G24</f>
        <v>0</v>
      </c>
      <c r="I24" s="55">
        <f>D24*H24</f>
        <v>0</v>
      </c>
      <c r="J24" s="42"/>
      <c r="K24" s="42"/>
      <c r="L24" s="43">
        <f>I24+J24+K24</f>
        <v>0</v>
      </c>
    </row>
    <row r="25" spans="1:12" s="27" customFormat="1" ht="15.75" customHeight="1" thickBot="1" x14ac:dyDescent="0.3">
      <c r="A25" s="92"/>
      <c r="B25" s="100" t="s">
        <v>48</v>
      </c>
      <c r="C25" s="93"/>
      <c r="D25" s="98"/>
      <c r="E25" s="96"/>
      <c r="F25" s="37"/>
      <c r="G25" s="37"/>
      <c r="H25" s="95"/>
      <c r="I25" s="96"/>
      <c r="J25" s="37"/>
      <c r="K25" s="37"/>
      <c r="L25" s="128">
        <f>L26+L27+L28+L29+L30+L31+L32</f>
        <v>0</v>
      </c>
    </row>
    <row r="26" spans="1:12" s="27" customFormat="1" ht="60" customHeight="1" x14ac:dyDescent="0.25">
      <c r="A26" s="64" t="s">
        <v>33</v>
      </c>
      <c r="B26" s="65" t="s">
        <v>32</v>
      </c>
      <c r="C26" s="7" t="s">
        <v>11</v>
      </c>
      <c r="D26" s="88">
        <f>((D27+D28+D29+D30+D31+D32)/1.06)*1.01</f>
        <v>22.007899999999999</v>
      </c>
      <c r="E26" s="34"/>
      <c r="F26" s="59"/>
      <c r="G26" s="59"/>
      <c r="H26" s="23">
        <f>E26+F26+G26</f>
        <v>0</v>
      </c>
      <c r="I26" s="34"/>
      <c r="J26" s="22">
        <f>F26*D26</f>
        <v>0</v>
      </c>
      <c r="K26" s="22">
        <f>G26*D26</f>
        <v>0</v>
      </c>
      <c r="L26" s="23">
        <f>SUM(I26:K26)</f>
        <v>0</v>
      </c>
    </row>
    <row r="27" spans="1:12" s="33" customFormat="1" ht="26.25" customHeight="1" x14ac:dyDescent="0.25">
      <c r="A27" s="70" t="s">
        <v>34</v>
      </c>
      <c r="B27" s="72" t="s">
        <v>40</v>
      </c>
      <c r="C27" s="76" t="s">
        <v>11</v>
      </c>
      <c r="D27" s="81">
        <f>6.7*1.06</f>
        <v>7.1020000000000003</v>
      </c>
      <c r="E27" s="82"/>
      <c r="F27" s="83"/>
      <c r="G27" s="83"/>
      <c r="H27" s="84">
        <f t="shared" ref="H27:H31" si="4">E27+F27+G27</f>
        <v>0</v>
      </c>
      <c r="I27" s="85">
        <f t="shared" ref="I27:I32" si="5">D27*H27</f>
        <v>0</v>
      </c>
      <c r="J27" s="83"/>
      <c r="K27" s="83"/>
      <c r="L27" s="84">
        <f>I27+J27+K27</f>
        <v>0</v>
      </c>
    </row>
    <row r="28" spans="1:12" s="33" customFormat="1" ht="26.25" customHeight="1" x14ac:dyDescent="0.25">
      <c r="A28" s="70" t="s">
        <v>35</v>
      </c>
      <c r="B28" s="72" t="s">
        <v>41</v>
      </c>
      <c r="C28" s="76" t="s">
        <v>11</v>
      </c>
      <c r="D28" s="81">
        <f>3.904*1.06</f>
        <v>4.1382399999999997</v>
      </c>
      <c r="E28" s="60"/>
      <c r="F28" s="38"/>
      <c r="G28" s="38"/>
      <c r="H28" s="41">
        <f t="shared" si="4"/>
        <v>0</v>
      </c>
      <c r="I28" s="54">
        <f t="shared" si="5"/>
        <v>0</v>
      </c>
      <c r="J28" s="38"/>
      <c r="K28" s="38"/>
      <c r="L28" s="41">
        <f t="shared" ref="L28:L31" si="6">I28+J28+K28</f>
        <v>0</v>
      </c>
    </row>
    <row r="29" spans="1:12" s="33" customFormat="1" ht="26.25" customHeight="1" x14ac:dyDescent="0.25">
      <c r="A29" s="70" t="s">
        <v>36</v>
      </c>
      <c r="B29" s="72" t="s">
        <v>42</v>
      </c>
      <c r="C29" s="76" t="s">
        <v>11</v>
      </c>
      <c r="D29" s="81">
        <f>1.44*1.06</f>
        <v>1.5264</v>
      </c>
      <c r="E29" s="60"/>
      <c r="F29" s="38"/>
      <c r="G29" s="38"/>
      <c r="H29" s="41">
        <f>E29+F29+G29</f>
        <v>0</v>
      </c>
      <c r="I29" s="54">
        <f t="shared" si="5"/>
        <v>0</v>
      </c>
      <c r="J29" s="38"/>
      <c r="K29" s="38"/>
      <c r="L29" s="41">
        <f t="shared" si="6"/>
        <v>0</v>
      </c>
    </row>
    <row r="30" spans="1:12" s="33" customFormat="1" ht="26.25" customHeight="1" x14ac:dyDescent="0.25">
      <c r="A30" s="70" t="s">
        <v>37</v>
      </c>
      <c r="B30" s="72" t="s">
        <v>43</v>
      </c>
      <c r="C30" s="76" t="s">
        <v>11</v>
      </c>
      <c r="D30" s="81">
        <f>6.122*1.06</f>
        <v>6.4893200000000002</v>
      </c>
      <c r="E30" s="60"/>
      <c r="F30" s="38"/>
      <c r="G30" s="38"/>
      <c r="H30" s="41">
        <f t="shared" si="4"/>
        <v>0</v>
      </c>
      <c r="I30" s="54">
        <f t="shared" si="5"/>
        <v>0</v>
      </c>
      <c r="J30" s="38"/>
      <c r="K30" s="38"/>
      <c r="L30" s="41">
        <f t="shared" si="6"/>
        <v>0</v>
      </c>
    </row>
    <row r="31" spans="1:12" s="33" customFormat="1" ht="26.25" customHeight="1" x14ac:dyDescent="0.25">
      <c r="A31" s="70" t="s">
        <v>38</v>
      </c>
      <c r="B31" s="72" t="s">
        <v>44</v>
      </c>
      <c r="C31" s="76" t="s">
        <v>11</v>
      </c>
      <c r="D31" s="81">
        <f>3.394*1.06</f>
        <v>3.5976400000000002</v>
      </c>
      <c r="E31" s="60"/>
      <c r="F31" s="38"/>
      <c r="G31" s="38"/>
      <c r="H31" s="41">
        <f t="shared" si="4"/>
        <v>0</v>
      </c>
      <c r="I31" s="54">
        <f t="shared" si="5"/>
        <v>0</v>
      </c>
      <c r="J31" s="38"/>
      <c r="K31" s="38"/>
      <c r="L31" s="41">
        <f t="shared" si="6"/>
        <v>0</v>
      </c>
    </row>
    <row r="32" spans="1:12" s="33" customFormat="1" ht="26.25" customHeight="1" thickBot="1" x14ac:dyDescent="0.3">
      <c r="A32" s="71" t="s">
        <v>39</v>
      </c>
      <c r="B32" s="73" t="s">
        <v>45</v>
      </c>
      <c r="C32" s="77" t="s">
        <v>11</v>
      </c>
      <c r="D32" s="89">
        <f>0.23*1.06</f>
        <v>0.24380000000000002</v>
      </c>
      <c r="E32" s="86"/>
      <c r="F32" s="87"/>
      <c r="G32" s="87"/>
      <c r="H32" s="56">
        <f>E32+F32+G32</f>
        <v>0</v>
      </c>
      <c r="I32" s="80">
        <f t="shared" si="5"/>
        <v>0</v>
      </c>
      <c r="J32" s="87"/>
      <c r="K32" s="87"/>
      <c r="L32" s="56">
        <f>I32+J32+K32</f>
        <v>0</v>
      </c>
    </row>
    <row r="33" spans="1:12" s="27" customFormat="1" ht="15.75" customHeight="1" thickBot="1" x14ac:dyDescent="0.3">
      <c r="A33" s="106"/>
      <c r="B33" s="97" t="s">
        <v>49</v>
      </c>
      <c r="C33" s="19"/>
      <c r="D33" s="108"/>
      <c r="E33" s="107"/>
      <c r="F33" s="101"/>
      <c r="G33" s="101"/>
      <c r="H33" s="109"/>
      <c r="I33" s="110"/>
      <c r="J33" s="101"/>
      <c r="K33" s="101"/>
      <c r="L33" s="129">
        <f>L34+L35+L36+L37+L38+L39</f>
        <v>0</v>
      </c>
    </row>
    <row r="34" spans="1:12" s="27" customFormat="1" ht="60" customHeight="1" x14ac:dyDescent="0.25">
      <c r="A34" s="64" t="s">
        <v>51</v>
      </c>
      <c r="B34" s="65" t="s">
        <v>50</v>
      </c>
      <c r="C34" s="7" t="s">
        <v>11</v>
      </c>
      <c r="D34" s="69">
        <f>((D35+D36+D37+D38+D39)/1.06)*1.01</f>
        <v>5.9488999999999993E-2</v>
      </c>
      <c r="E34" s="34"/>
      <c r="F34" s="59"/>
      <c r="G34" s="59"/>
      <c r="H34" s="23">
        <f>E34+F34+G34</f>
        <v>0</v>
      </c>
      <c r="I34" s="34"/>
      <c r="J34" s="22">
        <f>F34*D34</f>
        <v>0</v>
      </c>
      <c r="K34" s="22">
        <f>G34*D34</f>
        <v>0</v>
      </c>
      <c r="L34" s="23">
        <f>SUM(I34:K34)</f>
        <v>0</v>
      </c>
    </row>
    <row r="35" spans="1:12" s="27" customFormat="1" ht="26.25" customHeight="1" x14ac:dyDescent="0.25">
      <c r="A35" s="70" t="s">
        <v>52</v>
      </c>
      <c r="B35" s="72" t="s">
        <v>58</v>
      </c>
      <c r="C35" s="76" t="s">
        <v>11</v>
      </c>
      <c r="D35" s="78">
        <f>(41.67*1.06)/1000</f>
        <v>4.41702E-2</v>
      </c>
      <c r="E35" s="60"/>
      <c r="F35" s="38"/>
      <c r="G35" s="38"/>
      <c r="H35" s="41">
        <f t="shared" ref="H35:H39" si="7">E35+F35+G35</f>
        <v>0</v>
      </c>
      <c r="I35" s="54">
        <f t="shared" ref="I35:I39" si="8">D35*H35</f>
        <v>0</v>
      </c>
      <c r="J35" s="38"/>
      <c r="K35" s="38"/>
      <c r="L35" s="41">
        <f t="shared" ref="L35:L39" si="9">I35+J35+K35</f>
        <v>0</v>
      </c>
    </row>
    <row r="36" spans="1:12" s="27" customFormat="1" ht="26.25" customHeight="1" x14ac:dyDescent="0.25">
      <c r="A36" s="70" t="s">
        <v>53</v>
      </c>
      <c r="B36" s="72" t="s">
        <v>59</v>
      </c>
      <c r="C36" s="76" t="s">
        <v>11</v>
      </c>
      <c r="D36" s="78">
        <f>(2.41*1.06)/1000</f>
        <v>2.5546000000000002E-3</v>
      </c>
      <c r="E36" s="60"/>
      <c r="F36" s="38"/>
      <c r="G36" s="38"/>
      <c r="H36" s="41">
        <f t="shared" si="7"/>
        <v>0</v>
      </c>
      <c r="I36" s="54">
        <f t="shared" si="8"/>
        <v>0</v>
      </c>
      <c r="J36" s="38"/>
      <c r="K36" s="38"/>
      <c r="L36" s="41">
        <f t="shared" si="9"/>
        <v>0</v>
      </c>
    </row>
    <row r="37" spans="1:12" s="27" customFormat="1" ht="26.25" customHeight="1" x14ac:dyDescent="0.25">
      <c r="A37" s="70" t="s">
        <v>54</v>
      </c>
      <c r="B37" s="72" t="s">
        <v>57</v>
      </c>
      <c r="C37" s="76" t="s">
        <v>11</v>
      </c>
      <c r="D37" s="78">
        <f>(2.01*1.06)/1000</f>
        <v>2.1305999999999999E-3</v>
      </c>
      <c r="E37" s="60"/>
      <c r="F37" s="38"/>
      <c r="G37" s="38"/>
      <c r="H37" s="41">
        <f t="shared" si="7"/>
        <v>0</v>
      </c>
      <c r="I37" s="54">
        <f t="shared" si="8"/>
        <v>0</v>
      </c>
      <c r="J37" s="38"/>
      <c r="K37" s="38"/>
      <c r="L37" s="41">
        <f t="shared" si="9"/>
        <v>0</v>
      </c>
    </row>
    <row r="38" spans="1:12" s="27" customFormat="1" ht="26.25" customHeight="1" x14ac:dyDescent="0.25">
      <c r="A38" s="70" t="s">
        <v>55</v>
      </c>
      <c r="B38" s="72" t="s">
        <v>60</v>
      </c>
      <c r="C38" s="76" t="s">
        <v>11</v>
      </c>
      <c r="D38" s="78">
        <f>(6.3*1.06)/1000</f>
        <v>6.6779999999999999E-3</v>
      </c>
      <c r="E38" s="60"/>
      <c r="F38" s="38"/>
      <c r="G38" s="38"/>
      <c r="H38" s="41">
        <f t="shared" si="7"/>
        <v>0</v>
      </c>
      <c r="I38" s="54">
        <f t="shared" si="8"/>
        <v>0</v>
      </c>
      <c r="J38" s="38"/>
      <c r="K38" s="38"/>
      <c r="L38" s="41">
        <f t="shared" si="9"/>
        <v>0</v>
      </c>
    </row>
    <row r="39" spans="1:12" s="27" customFormat="1" ht="26.25" customHeight="1" thickBot="1" x14ac:dyDescent="0.3">
      <c r="A39" s="71" t="s">
        <v>56</v>
      </c>
      <c r="B39" s="73" t="s">
        <v>61</v>
      </c>
      <c r="C39" s="77" t="s">
        <v>11</v>
      </c>
      <c r="D39" s="79">
        <f>(6.51*1.06)/1000</f>
        <v>6.9005999999999998E-3</v>
      </c>
      <c r="E39" s="61"/>
      <c r="F39" s="42"/>
      <c r="G39" s="42"/>
      <c r="H39" s="43">
        <f t="shared" si="7"/>
        <v>0</v>
      </c>
      <c r="I39" s="55">
        <f t="shared" si="8"/>
        <v>0</v>
      </c>
      <c r="J39" s="42"/>
      <c r="K39" s="42"/>
      <c r="L39" s="43">
        <f t="shared" si="9"/>
        <v>0</v>
      </c>
    </row>
    <row r="40" spans="1:12" s="27" customFormat="1" ht="31.5" customHeight="1" thickBot="1" x14ac:dyDescent="0.3">
      <c r="A40" s="112"/>
      <c r="B40" s="113" t="s">
        <v>62</v>
      </c>
      <c r="C40" s="19"/>
      <c r="D40" s="111"/>
      <c r="E40" s="110"/>
      <c r="F40" s="101"/>
      <c r="G40" s="101"/>
      <c r="H40" s="102"/>
      <c r="I40" s="110"/>
      <c r="J40" s="101"/>
      <c r="K40" s="101"/>
      <c r="L40" s="129">
        <f>L41+L42+L43+L44+L45</f>
        <v>0</v>
      </c>
    </row>
    <row r="41" spans="1:12" s="27" customFormat="1" ht="60" customHeight="1" x14ac:dyDescent="0.25">
      <c r="A41" s="64" t="s">
        <v>65</v>
      </c>
      <c r="B41" s="65" t="s">
        <v>63</v>
      </c>
      <c r="C41" s="7" t="s">
        <v>11</v>
      </c>
      <c r="D41" s="69">
        <f>((D42+D43+D44+D45)/1.06)*1.01</f>
        <v>3.7733600000000003</v>
      </c>
      <c r="E41" s="34"/>
      <c r="F41" s="59"/>
      <c r="G41" s="59"/>
      <c r="H41" s="23">
        <f>E41+F41+G41</f>
        <v>0</v>
      </c>
      <c r="I41" s="34"/>
      <c r="J41" s="22">
        <f>F41*D41</f>
        <v>0</v>
      </c>
      <c r="K41" s="22">
        <f>G41*D41</f>
        <v>0</v>
      </c>
      <c r="L41" s="23">
        <f>SUM(I41:K41)</f>
        <v>0</v>
      </c>
    </row>
    <row r="42" spans="1:12" s="27" customFormat="1" ht="26.25" customHeight="1" x14ac:dyDescent="0.25">
      <c r="A42" s="70" t="s">
        <v>66</v>
      </c>
      <c r="B42" s="72" t="s">
        <v>127</v>
      </c>
      <c r="C42" s="76" t="s">
        <v>11</v>
      </c>
      <c r="D42" s="78">
        <f>1.71*1.06</f>
        <v>1.8126</v>
      </c>
      <c r="E42" s="60"/>
      <c r="F42" s="38"/>
      <c r="G42" s="38"/>
      <c r="H42" s="41">
        <f t="shared" ref="H42:H45" si="10">E42+F42+G42</f>
        <v>0</v>
      </c>
      <c r="I42" s="54">
        <f t="shared" ref="I42:I45" si="11">D42*H42</f>
        <v>0</v>
      </c>
      <c r="J42" s="38"/>
      <c r="K42" s="38"/>
      <c r="L42" s="41">
        <f t="shared" ref="L42:L45" si="12">I42+J42+K42</f>
        <v>0</v>
      </c>
    </row>
    <row r="43" spans="1:12" s="27" customFormat="1" ht="26.25" customHeight="1" x14ac:dyDescent="0.25">
      <c r="A43" s="70" t="s">
        <v>67</v>
      </c>
      <c r="B43" s="103" t="s">
        <v>64</v>
      </c>
      <c r="C43" s="76" t="s">
        <v>11</v>
      </c>
      <c r="D43" s="78">
        <f>1.22*1.06</f>
        <v>1.2932000000000001</v>
      </c>
      <c r="E43" s="60"/>
      <c r="F43" s="38"/>
      <c r="G43" s="38"/>
      <c r="H43" s="41">
        <f t="shared" si="10"/>
        <v>0</v>
      </c>
      <c r="I43" s="54">
        <f t="shared" si="11"/>
        <v>0</v>
      </c>
      <c r="J43" s="38"/>
      <c r="K43" s="38"/>
      <c r="L43" s="41">
        <f t="shared" si="12"/>
        <v>0</v>
      </c>
    </row>
    <row r="44" spans="1:12" s="27" customFormat="1" ht="26.25" customHeight="1" x14ac:dyDescent="0.25">
      <c r="A44" s="70" t="s">
        <v>68</v>
      </c>
      <c r="B44" s="72" t="s">
        <v>128</v>
      </c>
      <c r="C44" s="76" t="s">
        <v>11</v>
      </c>
      <c r="D44" s="78">
        <f>0.766*1.06</f>
        <v>0.81196000000000002</v>
      </c>
      <c r="E44" s="60"/>
      <c r="F44" s="38"/>
      <c r="G44" s="38"/>
      <c r="H44" s="41">
        <f t="shared" si="10"/>
        <v>0</v>
      </c>
      <c r="I44" s="54">
        <f t="shared" si="11"/>
        <v>0</v>
      </c>
      <c r="J44" s="38"/>
      <c r="K44" s="38"/>
      <c r="L44" s="41">
        <f t="shared" si="12"/>
        <v>0</v>
      </c>
    </row>
    <row r="45" spans="1:12" s="27" customFormat="1" ht="26.25" customHeight="1" thickBot="1" x14ac:dyDescent="0.3">
      <c r="A45" s="71" t="s">
        <v>69</v>
      </c>
      <c r="B45" s="73" t="s">
        <v>99</v>
      </c>
      <c r="C45" s="77" t="s">
        <v>11</v>
      </c>
      <c r="D45" s="79">
        <f>0.04*1.06</f>
        <v>4.24E-2</v>
      </c>
      <c r="E45" s="61"/>
      <c r="F45" s="42"/>
      <c r="G45" s="42"/>
      <c r="H45" s="43">
        <f t="shared" si="10"/>
        <v>0</v>
      </c>
      <c r="I45" s="55">
        <f t="shared" si="11"/>
        <v>0</v>
      </c>
      <c r="J45" s="42"/>
      <c r="K45" s="42"/>
      <c r="L45" s="43">
        <f t="shared" si="12"/>
        <v>0</v>
      </c>
    </row>
    <row r="46" spans="1:12" s="27" customFormat="1" ht="15.75" customHeight="1" thickBot="1" x14ac:dyDescent="0.3">
      <c r="A46" s="106"/>
      <c r="B46" s="113" t="s">
        <v>71</v>
      </c>
      <c r="C46" s="19"/>
      <c r="D46" s="108"/>
      <c r="E46" s="110"/>
      <c r="F46" s="101"/>
      <c r="G46" s="101"/>
      <c r="H46" s="102"/>
      <c r="I46" s="110"/>
      <c r="J46" s="101"/>
      <c r="K46" s="101"/>
      <c r="L46" s="129">
        <f>L47+L48+L49+L50+L51</f>
        <v>0</v>
      </c>
    </row>
    <row r="47" spans="1:12" s="27" customFormat="1" ht="60" customHeight="1" x14ac:dyDescent="0.25">
      <c r="A47" s="64" t="s">
        <v>70</v>
      </c>
      <c r="B47" s="65" t="s">
        <v>73</v>
      </c>
      <c r="C47" s="7" t="s">
        <v>11</v>
      </c>
      <c r="D47" s="69">
        <f>((D48+D49+D50+D51)/1.06)*1.01</f>
        <v>3.7481100000000001</v>
      </c>
      <c r="E47" s="34"/>
      <c r="F47" s="59"/>
      <c r="G47" s="59"/>
      <c r="H47" s="23">
        <f>E47+F47+G47</f>
        <v>0</v>
      </c>
      <c r="I47" s="34"/>
      <c r="J47" s="22">
        <f>F47*D47</f>
        <v>0</v>
      </c>
      <c r="K47" s="22">
        <f>G47*D47</f>
        <v>0</v>
      </c>
      <c r="L47" s="23">
        <f>SUM(I47:K47)</f>
        <v>0</v>
      </c>
    </row>
    <row r="48" spans="1:12" s="33" customFormat="1" ht="26.25" customHeight="1" x14ac:dyDescent="0.25">
      <c r="A48" s="70" t="s">
        <v>74</v>
      </c>
      <c r="B48" s="72" t="s">
        <v>152</v>
      </c>
      <c r="C48" s="76" t="s">
        <v>11</v>
      </c>
      <c r="D48" s="78">
        <f>1.35*1.06</f>
        <v>1.4310000000000003</v>
      </c>
      <c r="E48" s="60"/>
      <c r="F48" s="38"/>
      <c r="G48" s="38"/>
      <c r="H48" s="41">
        <f t="shared" ref="H48:H51" si="13">E48+F48+G48</f>
        <v>0</v>
      </c>
      <c r="I48" s="54">
        <f t="shared" ref="I48:I51" si="14">D48*H48</f>
        <v>0</v>
      </c>
      <c r="J48" s="38"/>
      <c r="K48" s="38"/>
      <c r="L48" s="41">
        <f t="shared" ref="L48:L51" si="15">I48+J48+K48</f>
        <v>0</v>
      </c>
    </row>
    <row r="49" spans="1:12" s="33" customFormat="1" ht="26.25" customHeight="1" x14ac:dyDescent="0.25">
      <c r="A49" s="70" t="s">
        <v>75</v>
      </c>
      <c r="B49" s="72" t="s">
        <v>97</v>
      </c>
      <c r="C49" s="76" t="s">
        <v>11</v>
      </c>
      <c r="D49" s="78">
        <f>1.24*1.06</f>
        <v>1.3144</v>
      </c>
      <c r="E49" s="60"/>
      <c r="F49" s="38"/>
      <c r="G49" s="38"/>
      <c r="H49" s="41">
        <f t="shared" si="13"/>
        <v>0</v>
      </c>
      <c r="I49" s="54">
        <f t="shared" si="14"/>
        <v>0</v>
      </c>
      <c r="J49" s="38"/>
      <c r="K49" s="38"/>
      <c r="L49" s="41">
        <f t="shared" si="15"/>
        <v>0</v>
      </c>
    </row>
    <row r="50" spans="1:12" s="33" customFormat="1" ht="26.25" customHeight="1" x14ac:dyDescent="0.25">
      <c r="A50" s="70" t="s">
        <v>76</v>
      </c>
      <c r="B50" s="72" t="s">
        <v>98</v>
      </c>
      <c r="C50" s="76" t="s">
        <v>11</v>
      </c>
      <c r="D50" s="78">
        <f>0.796*1.06</f>
        <v>0.84376000000000007</v>
      </c>
      <c r="E50" s="60"/>
      <c r="F50" s="38"/>
      <c r="G50" s="38"/>
      <c r="H50" s="41">
        <f t="shared" si="13"/>
        <v>0</v>
      </c>
      <c r="I50" s="54">
        <f t="shared" si="14"/>
        <v>0</v>
      </c>
      <c r="J50" s="38"/>
      <c r="K50" s="38"/>
      <c r="L50" s="41">
        <f t="shared" si="15"/>
        <v>0</v>
      </c>
    </row>
    <row r="51" spans="1:12" s="33" customFormat="1" ht="26.25" customHeight="1" thickBot="1" x14ac:dyDescent="0.3">
      <c r="A51" s="71" t="s">
        <v>77</v>
      </c>
      <c r="B51" s="73" t="s">
        <v>100</v>
      </c>
      <c r="C51" s="77" t="s">
        <v>11</v>
      </c>
      <c r="D51" s="79">
        <f>0.325*1.06</f>
        <v>0.34450000000000003</v>
      </c>
      <c r="E51" s="61"/>
      <c r="F51" s="42"/>
      <c r="G51" s="42"/>
      <c r="H51" s="43">
        <f t="shared" si="13"/>
        <v>0</v>
      </c>
      <c r="I51" s="55">
        <f t="shared" si="14"/>
        <v>0</v>
      </c>
      <c r="J51" s="42"/>
      <c r="K51" s="42"/>
      <c r="L51" s="43">
        <f t="shared" si="15"/>
        <v>0</v>
      </c>
    </row>
    <row r="52" spans="1:12" s="27" customFormat="1" ht="15.75" customHeight="1" thickBot="1" x14ac:dyDescent="0.3">
      <c r="A52" s="106"/>
      <c r="B52" s="113" t="s">
        <v>78</v>
      </c>
      <c r="C52" s="19"/>
      <c r="D52" s="108"/>
      <c r="E52" s="110"/>
      <c r="F52" s="101"/>
      <c r="G52" s="101"/>
      <c r="H52" s="102"/>
      <c r="I52" s="110"/>
      <c r="J52" s="101"/>
      <c r="K52" s="101"/>
      <c r="L52" s="129">
        <f>L53+L55+L58</f>
        <v>0</v>
      </c>
    </row>
    <row r="53" spans="1:12" s="27" customFormat="1" ht="60" customHeight="1" x14ac:dyDescent="0.25">
      <c r="A53" s="123" t="s">
        <v>81</v>
      </c>
      <c r="B53" s="65" t="s">
        <v>146</v>
      </c>
      <c r="C53" s="7" t="s">
        <v>11</v>
      </c>
      <c r="D53" s="74">
        <f>((D54+D55+D56+D57+D58)/1.06)*1.01</f>
        <v>0.14523800000000001</v>
      </c>
      <c r="E53" s="34"/>
      <c r="F53" s="59"/>
      <c r="G53" s="59"/>
      <c r="H53" s="23">
        <f>E53+F53+G53</f>
        <v>0</v>
      </c>
      <c r="I53" s="34"/>
      <c r="J53" s="22">
        <f>F53*D53</f>
        <v>0</v>
      </c>
      <c r="K53" s="22">
        <f>G53*D53</f>
        <v>0</v>
      </c>
      <c r="L53" s="23">
        <f>SUM(I53:K53)</f>
        <v>0</v>
      </c>
    </row>
    <row r="54" spans="1:12" s="33" customFormat="1" ht="26.25" customHeight="1" x14ac:dyDescent="0.25">
      <c r="A54" s="124" t="s">
        <v>147</v>
      </c>
      <c r="B54" s="72" t="s">
        <v>40</v>
      </c>
      <c r="C54" s="76" t="s">
        <v>11</v>
      </c>
      <c r="D54" s="75">
        <f>(40.2*1.06)/1000</f>
        <v>4.2612000000000004E-2</v>
      </c>
      <c r="E54" s="60"/>
      <c r="F54" s="38"/>
      <c r="G54" s="38"/>
      <c r="H54" s="41">
        <f t="shared" ref="H54:H58" si="16">E54+F54+G54</f>
        <v>0</v>
      </c>
      <c r="I54" s="54">
        <f t="shared" ref="I54:I58" si="17">D54*H54</f>
        <v>0</v>
      </c>
      <c r="J54" s="38"/>
      <c r="K54" s="38"/>
      <c r="L54" s="41">
        <f t="shared" ref="L54:L58" si="18">I54+J54+K54</f>
        <v>0</v>
      </c>
    </row>
    <row r="55" spans="1:12" s="130" customFormat="1" ht="26.25" customHeight="1" x14ac:dyDescent="0.25">
      <c r="A55" s="124" t="s">
        <v>148</v>
      </c>
      <c r="B55" s="72" t="s">
        <v>41</v>
      </c>
      <c r="C55" s="76" t="s">
        <v>11</v>
      </c>
      <c r="D55" s="75">
        <f>(21.5*1.06)/1000</f>
        <v>2.2790000000000001E-2</v>
      </c>
      <c r="E55" s="60"/>
      <c r="F55" s="38"/>
      <c r="G55" s="38"/>
      <c r="H55" s="41">
        <f t="shared" si="16"/>
        <v>0</v>
      </c>
      <c r="I55" s="54">
        <f t="shared" si="17"/>
        <v>0</v>
      </c>
      <c r="J55" s="38"/>
      <c r="K55" s="38"/>
      <c r="L55" s="41">
        <f t="shared" si="18"/>
        <v>0</v>
      </c>
    </row>
    <row r="56" spans="1:12" s="130" customFormat="1" ht="26.25" customHeight="1" x14ac:dyDescent="0.25">
      <c r="A56" s="131" t="s">
        <v>149</v>
      </c>
      <c r="B56" s="103" t="s">
        <v>153</v>
      </c>
      <c r="C56" s="49" t="s">
        <v>11</v>
      </c>
      <c r="D56" s="48">
        <f>(42.2*1.06)/1000</f>
        <v>4.4732000000000008E-2</v>
      </c>
      <c r="E56" s="60"/>
      <c r="F56" s="38"/>
      <c r="G56" s="38"/>
      <c r="H56" s="41">
        <f t="shared" si="16"/>
        <v>0</v>
      </c>
      <c r="I56" s="54">
        <f t="shared" si="17"/>
        <v>0</v>
      </c>
      <c r="J56" s="38"/>
      <c r="K56" s="38"/>
      <c r="L56" s="41">
        <f t="shared" si="18"/>
        <v>0</v>
      </c>
    </row>
    <row r="57" spans="1:12" s="130" customFormat="1" ht="26.25" customHeight="1" x14ac:dyDescent="0.25">
      <c r="A57" s="131" t="s">
        <v>150</v>
      </c>
      <c r="B57" s="103" t="s">
        <v>154</v>
      </c>
      <c r="C57" s="49" t="s">
        <v>11</v>
      </c>
      <c r="D57" s="48">
        <f>(34.8*1.06)/1000</f>
        <v>3.6887999999999997E-2</v>
      </c>
      <c r="E57" s="60"/>
      <c r="F57" s="38"/>
      <c r="G57" s="38"/>
      <c r="H57" s="41">
        <f t="shared" si="16"/>
        <v>0</v>
      </c>
      <c r="I57" s="54">
        <f t="shared" si="17"/>
        <v>0</v>
      </c>
      <c r="J57" s="38"/>
      <c r="K57" s="38"/>
      <c r="L57" s="41">
        <f t="shared" si="18"/>
        <v>0</v>
      </c>
    </row>
    <row r="58" spans="1:12" s="130" customFormat="1" ht="26.25" customHeight="1" thickBot="1" x14ac:dyDescent="0.3">
      <c r="A58" s="125" t="s">
        <v>151</v>
      </c>
      <c r="B58" s="73" t="s">
        <v>155</v>
      </c>
      <c r="C58" s="77" t="s">
        <v>11</v>
      </c>
      <c r="D58" s="132">
        <f>(5.1*1.06)/1000</f>
        <v>5.4059999999999993E-3</v>
      </c>
      <c r="E58" s="61"/>
      <c r="F58" s="42"/>
      <c r="G58" s="42"/>
      <c r="H58" s="43">
        <f t="shared" si="16"/>
        <v>0</v>
      </c>
      <c r="I58" s="55">
        <f t="shared" si="17"/>
        <v>0</v>
      </c>
      <c r="J58" s="42"/>
      <c r="K58" s="42"/>
      <c r="L58" s="43">
        <f t="shared" si="18"/>
        <v>0</v>
      </c>
    </row>
    <row r="59" spans="1:12" s="27" customFormat="1" ht="15.75" customHeight="1" thickBot="1" x14ac:dyDescent="0.3">
      <c r="A59" s="106"/>
      <c r="B59" s="113" t="s">
        <v>79</v>
      </c>
      <c r="C59" s="19"/>
      <c r="D59" s="108"/>
      <c r="E59" s="110"/>
      <c r="F59" s="101"/>
      <c r="G59" s="101"/>
      <c r="H59" s="102"/>
      <c r="I59" s="110"/>
      <c r="J59" s="101"/>
      <c r="K59" s="101"/>
      <c r="L59" s="129">
        <f>L60+L61+L62+L63</f>
        <v>0</v>
      </c>
    </row>
    <row r="60" spans="1:12" s="27" customFormat="1" ht="60" customHeight="1" x14ac:dyDescent="0.25">
      <c r="A60" s="64" t="s">
        <v>82</v>
      </c>
      <c r="B60" s="65" t="s">
        <v>101</v>
      </c>
      <c r="C60" s="7" t="s">
        <v>11</v>
      </c>
      <c r="D60" s="74">
        <f>((D61+D62+D63)/1.06)*1.01</f>
        <v>4.04</v>
      </c>
      <c r="E60" s="34"/>
      <c r="F60" s="59"/>
      <c r="G60" s="59"/>
      <c r="H60" s="23">
        <f>E60+F60+G60</f>
        <v>0</v>
      </c>
      <c r="I60" s="34"/>
      <c r="J60" s="22">
        <f>F60*D60</f>
        <v>0</v>
      </c>
      <c r="K60" s="22">
        <f>G60*D60</f>
        <v>0</v>
      </c>
      <c r="L60" s="23">
        <f>SUM(I60:K60)</f>
        <v>0</v>
      </c>
    </row>
    <row r="61" spans="1:12" s="33" customFormat="1" ht="26.25" customHeight="1" x14ac:dyDescent="0.25">
      <c r="A61" s="70" t="s">
        <v>102</v>
      </c>
      <c r="B61" s="72" t="s">
        <v>105</v>
      </c>
      <c r="C61" s="76" t="s">
        <v>11</v>
      </c>
      <c r="D61" s="75">
        <f>2.45*1.06</f>
        <v>2.5970000000000004</v>
      </c>
      <c r="E61" s="60"/>
      <c r="F61" s="38"/>
      <c r="G61" s="38"/>
      <c r="H61" s="41">
        <f t="shared" ref="H61:H63" si="19">E61+F61+G61</f>
        <v>0</v>
      </c>
      <c r="I61" s="54">
        <f t="shared" ref="I61:I63" si="20">D61*H61</f>
        <v>0</v>
      </c>
      <c r="J61" s="38"/>
      <c r="K61" s="38"/>
      <c r="L61" s="41">
        <f t="shared" ref="L61:L63" si="21">I61+J61+K61</f>
        <v>0</v>
      </c>
    </row>
    <row r="62" spans="1:12" s="33" customFormat="1" ht="26.25" customHeight="1" x14ac:dyDescent="0.25">
      <c r="A62" s="70" t="s">
        <v>103</v>
      </c>
      <c r="B62" s="72" t="s">
        <v>156</v>
      </c>
      <c r="C62" s="76" t="s">
        <v>11</v>
      </c>
      <c r="D62" s="75">
        <f>1.21*1.06</f>
        <v>1.2826</v>
      </c>
      <c r="E62" s="60"/>
      <c r="F62" s="38"/>
      <c r="G62" s="38"/>
      <c r="H62" s="41">
        <f t="shared" si="19"/>
        <v>0</v>
      </c>
      <c r="I62" s="54">
        <f t="shared" si="20"/>
        <v>0</v>
      </c>
      <c r="J62" s="38"/>
      <c r="K62" s="38"/>
      <c r="L62" s="41">
        <f t="shared" si="21"/>
        <v>0</v>
      </c>
    </row>
    <row r="63" spans="1:12" s="33" customFormat="1" ht="26.25" customHeight="1" thickBot="1" x14ac:dyDescent="0.3">
      <c r="A63" s="71" t="s">
        <v>104</v>
      </c>
      <c r="B63" s="73" t="s">
        <v>106</v>
      </c>
      <c r="C63" s="77" t="s">
        <v>11</v>
      </c>
      <c r="D63" s="75">
        <f>0.34*1.06</f>
        <v>0.36040000000000005</v>
      </c>
      <c r="E63" s="61"/>
      <c r="F63" s="42"/>
      <c r="G63" s="42"/>
      <c r="H63" s="43">
        <f t="shared" si="19"/>
        <v>0</v>
      </c>
      <c r="I63" s="55">
        <f t="shared" si="20"/>
        <v>0</v>
      </c>
      <c r="J63" s="42"/>
      <c r="K63" s="42"/>
      <c r="L63" s="43">
        <f t="shared" si="21"/>
        <v>0</v>
      </c>
    </row>
    <row r="64" spans="1:12" s="27" customFormat="1" ht="15.75" customHeight="1" thickBot="1" x14ac:dyDescent="0.3">
      <c r="A64" s="106"/>
      <c r="B64" s="113" t="s">
        <v>80</v>
      </c>
      <c r="C64" s="19"/>
      <c r="D64" s="108"/>
      <c r="E64" s="110"/>
      <c r="F64" s="101"/>
      <c r="G64" s="101"/>
      <c r="H64" s="102"/>
      <c r="I64" s="110"/>
      <c r="J64" s="101"/>
      <c r="K64" s="101"/>
      <c r="L64" s="129">
        <f>L65+L66+L67+L70</f>
        <v>0</v>
      </c>
    </row>
    <row r="65" spans="1:12" s="27" customFormat="1" ht="60" customHeight="1" x14ac:dyDescent="0.25">
      <c r="A65" s="123" t="s">
        <v>83</v>
      </c>
      <c r="B65" s="40" t="s">
        <v>107</v>
      </c>
      <c r="C65" s="7" t="s">
        <v>11</v>
      </c>
      <c r="D65" s="69">
        <f>((D66+D67+D68+D69)/1.06)*1.01</f>
        <v>3.8600180000000002</v>
      </c>
      <c r="E65" s="34"/>
      <c r="F65" s="59"/>
      <c r="G65" s="59"/>
      <c r="H65" s="23">
        <f>E65+F65+G65</f>
        <v>0</v>
      </c>
      <c r="I65" s="34"/>
      <c r="J65" s="22">
        <f>F65*D65</f>
        <v>0</v>
      </c>
      <c r="K65" s="22">
        <f>G65*D65</f>
        <v>0</v>
      </c>
      <c r="L65" s="23">
        <f>SUM(I65:K65)</f>
        <v>0</v>
      </c>
    </row>
    <row r="66" spans="1:12" s="33" customFormat="1" ht="26.25" customHeight="1" x14ac:dyDescent="0.25">
      <c r="A66" s="124" t="s">
        <v>111</v>
      </c>
      <c r="B66" s="120" t="s">
        <v>108</v>
      </c>
      <c r="C66" s="49" t="s">
        <v>11</v>
      </c>
      <c r="D66" s="78">
        <f>(610.4*1.06)/1000</f>
        <v>0.64702400000000004</v>
      </c>
      <c r="E66" s="60"/>
      <c r="F66" s="38"/>
      <c r="G66" s="38"/>
      <c r="H66" s="41">
        <f t="shared" ref="H66:H70" si="22">E66+F66+G66</f>
        <v>0</v>
      </c>
      <c r="I66" s="54">
        <f t="shared" ref="I66:I70" si="23">D66*H66</f>
        <v>0</v>
      </c>
      <c r="J66" s="38"/>
      <c r="K66" s="38"/>
      <c r="L66" s="41">
        <f t="shared" ref="L66:L70" si="24">I66+J66+K66</f>
        <v>0</v>
      </c>
    </row>
    <row r="67" spans="1:12" s="33" customFormat="1" ht="26.25" customHeight="1" x14ac:dyDescent="0.25">
      <c r="A67" s="124" t="s">
        <v>112</v>
      </c>
      <c r="B67" s="120" t="s">
        <v>109</v>
      </c>
      <c r="C67" s="126" t="s">
        <v>11</v>
      </c>
      <c r="D67" s="78">
        <f>(131.4*1.06)/1000</f>
        <v>0.13928400000000002</v>
      </c>
      <c r="E67" s="60"/>
      <c r="F67" s="38"/>
      <c r="G67" s="38"/>
      <c r="H67" s="41">
        <f t="shared" si="22"/>
        <v>0</v>
      </c>
      <c r="I67" s="54">
        <f t="shared" si="23"/>
        <v>0</v>
      </c>
      <c r="J67" s="38"/>
      <c r="K67" s="38"/>
      <c r="L67" s="41">
        <f t="shared" si="24"/>
        <v>0</v>
      </c>
    </row>
    <row r="68" spans="1:12" s="33" customFormat="1" ht="26.25" customHeight="1" x14ac:dyDescent="0.25">
      <c r="A68" s="131" t="s">
        <v>113</v>
      </c>
      <c r="B68" s="46" t="s">
        <v>110</v>
      </c>
      <c r="C68" s="126" t="s">
        <v>11</v>
      </c>
      <c r="D68" s="52">
        <f>(2774*1.06)/1000</f>
        <v>2.9404400000000002</v>
      </c>
      <c r="E68" s="60"/>
      <c r="F68" s="38"/>
      <c r="G68" s="38"/>
      <c r="H68" s="41">
        <f t="shared" ref="H68:H69" si="25">E68+F68+G68</f>
        <v>0</v>
      </c>
      <c r="I68" s="54">
        <f t="shared" ref="I68:I69" si="26">D68*H68</f>
        <v>0</v>
      </c>
      <c r="J68" s="38"/>
      <c r="K68" s="38"/>
      <c r="L68" s="41">
        <f t="shared" ref="L68:L69" si="27">I68+J68+K68</f>
        <v>0</v>
      </c>
    </row>
    <row r="69" spans="1:12" s="33" customFormat="1" ht="26.25" customHeight="1" x14ac:dyDescent="0.25">
      <c r="A69" s="131" t="s">
        <v>158</v>
      </c>
      <c r="B69" s="46" t="s">
        <v>157</v>
      </c>
      <c r="C69" s="126" t="s">
        <v>11</v>
      </c>
      <c r="D69" s="52">
        <f>(306*1.06)/1000</f>
        <v>0.32436000000000004</v>
      </c>
      <c r="E69" s="60"/>
      <c r="F69" s="38"/>
      <c r="G69" s="38"/>
      <c r="H69" s="41">
        <f t="shared" si="25"/>
        <v>0</v>
      </c>
      <c r="I69" s="54">
        <f t="shared" si="26"/>
        <v>0</v>
      </c>
      <c r="J69" s="38"/>
      <c r="K69" s="38"/>
      <c r="L69" s="41">
        <f t="shared" si="27"/>
        <v>0</v>
      </c>
    </row>
    <row r="70" spans="1:12" s="33" customFormat="1" ht="26.25" customHeight="1" thickBot="1" x14ac:dyDescent="0.3">
      <c r="A70" s="125" t="s">
        <v>160</v>
      </c>
      <c r="B70" s="134" t="s">
        <v>159</v>
      </c>
      <c r="C70" s="77" t="s">
        <v>9</v>
      </c>
      <c r="D70" s="133">
        <v>360</v>
      </c>
      <c r="E70" s="86"/>
      <c r="F70" s="87"/>
      <c r="G70" s="87"/>
      <c r="H70" s="56">
        <f t="shared" si="22"/>
        <v>0</v>
      </c>
      <c r="I70" s="80">
        <f t="shared" si="23"/>
        <v>0</v>
      </c>
      <c r="J70" s="87"/>
      <c r="K70" s="87"/>
      <c r="L70" s="56">
        <f t="shared" si="24"/>
        <v>0</v>
      </c>
    </row>
    <row r="71" spans="1:12" s="27" customFormat="1" ht="15.75" customHeight="1" thickBot="1" x14ac:dyDescent="0.3">
      <c r="A71" s="106"/>
      <c r="B71" s="121" t="s">
        <v>85</v>
      </c>
      <c r="C71" s="19"/>
      <c r="D71" s="108"/>
      <c r="E71" s="110"/>
      <c r="F71" s="101"/>
      <c r="G71" s="101"/>
      <c r="H71" s="102"/>
      <c r="I71" s="110"/>
      <c r="J71" s="101"/>
      <c r="K71" s="101"/>
      <c r="L71" s="129">
        <f>L72+L73+L74+L75+L76+L77</f>
        <v>0</v>
      </c>
    </row>
    <row r="72" spans="1:12" s="27" customFormat="1" ht="60" customHeight="1" x14ac:dyDescent="0.25">
      <c r="A72" s="122" t="s">
        <v>84</v>
      </c>
      <c r="B72" s="65" t="s">
        <v>116</v>
      </c>
      <c r="C72" s="7" t="s">
        <v>11</v>
      </c>
      <c r="D72" s="69">
        <f>((D73+D74+D75+D76+D77)/1.06)*1.01</f>
        <v>1.52712</v>
      </c>
      <c r="E72" s="34"/>
      <c r="F72" s="59"/>
      <c r="G72" s="59"/>
      <c r="H72" s="23">
        <f>E72+F72+G72</f>
        <v>0</v>
      </c>
      <c r="I72" s="34"/>
      <c r="J72" s="22">
        <f>F72*D72</f>
        <v>0</v>
      </c>
      <c r="K72" s="22">
        <f>G72*D72</f>
        <v>0</v>
      </c>
      <c r="L72" s="23">
        <f>SUM(I72:K72)</f>
        <v>0</v>
      </c>
    </row>
    <row r="73" spans="1:12" s="33" customFormat="1" ht="26.25" customHeight="1" x14ac:dyDescent="0.25">
      <c r="A73" s="70" t="s">
        <v>117</v>
      </c>
      <c r="B73" s="72" t="s">
        <v>122</v>
      </c>
      <c r="C73" s="76" t="s">
        <v>11</v>
      </c>
      <c r="D73" s="78">
        <f>0.911*1.06</f>
        <v>0.96566000000000007</v>
      </c>
      <c r="E73" s="60"/>
      <c r="F73" s="38"/>
      <c r="G73" s="38"/>
      <c r="H73" s="41">
        <f t="shared" ref="H73:H77" si="28">E73+F73+G73</f>
        <v>0</v>
      </c>
      <c r="I73" s="54">
        <f t="shared" ref="I73:I77" si="29">D73*H73</f>
        <v>0</v>
      </c>
      <c r="J73" s="38"/>
      <c r="K73" s="38"/>
      <c r="L73" s="41">
        <f t="shared" ref="L73:L77" si="30">I73+J73+K73</f>
        <v>0</v>
      </c>
    </row>
    <row r="74" spans="1:12" s="33" customFormat="1" ht="26.25" customHeight="1" x14ac:dyDescent="0.25">
      <c r="A74" s="70" t="s">
        <v>118</v>
      </c>
      <c r="B74" s="72" t="s">
        <v>114</v>
      </c>
      <c r="C74" s="76" t="s">
        <v>11</v>
      </c>
      <c r="D74" s="78">
        <f>0.483*1.06</f>
        <v>0.51197999999999999</v>
      </c>
      <c r="E74" s="60"/>
      <c r="F74" s="38"/>
      <c r="G74" s="38"/>
      <c r="H74" s="41">
        <f t="shared" si="28"/>
        <v>0</v>
      </c>
      <c r="I74" s="54">
        <f t="shared" si="29"/>
        <v>0</v>
      </c>
      <c r="J74" s="38"/>
      <c r="K74" s="38"/>
      <c r="L74" s="41">
        <f t="shared" si="30"/>
        <v>0</v>
      </c>
    </row>
    <row r="75" spans="1:12" s="33" customFormat="1" ht="26.25" customHeight="1" x14ac:dyDescent="0.25">
      <c r="A75" s="70" t="s">
        <v>119</v>
      </c>
      <c r="B75" s="72" t="s">
        <v>123</v>
      </c>
      <c r="C75" s="76" t="s">
        <v>11</v>
      </c>
      <c r="D75" s="78">
        <f>0.038*1.06</f>
        <v>4.0280000000000003E-2</v>
      </c>
      <c r="E75" s="60"/>
      <c r="F75" s="38"/>
      <c r="G75" s="38"/>
      <c r="H75" s="41">
        <f t="shared" si="28"/>
        <v>0</v>
      </c>
      <c r="I75" s="54">
        <f t="shared" si="29"/>
        <v>0</v>
      </c>
      <c r="J75" s="38"/>
      <c r="K75" s="38"/>
      <c r="L75" s="41">
        <f t="shared" si="30"/>
        <v>0</v>
      </c>
    </row>
    <row r="76" spans="1:12" s="33" customFormat="1" ht="26.25" customHeight="1" x14ac:dyDescent="0.25">
      <c r="A76" s="70" t="s">
        <v>120</v>
      </c>
      <c r="B76" s="72" t="s">
        <v>124</v>
      </c>
      <c r="C76" s="76" t="s">
        <v>11</v>
      </c>
      <c r="D76" s="78">
        <f>0.064*1.06</f>
        <v>6.7840000000000011E-2</v>
      </c>
      <c r="E76" s="60"/>
      <c r="F76" s="38"/>
      <c r="G76" s="38"/>
      <c r="H76" s="41">
        <f t="shared" si="28"/>
        <v>0</v>
      </c>
      <c r="I76" s="54">
        <f t="shared" si="29"/>
        <v>0</v>
      </c>
      <c r="J76" s="38"/>
      <c r="K76" s="38"/>
      <c r="L76" s="41">
        <f t="shared" si="30"/>
        <v>0</v>
      </c>
    </row>
    <row r="77" spans="1:12" s="33" customFormat="1" ht="26.25" customHeight="1" thickBot="1" x14ac:dyDescent="0.3">
      <c r="A77" s="71" t="s">
        <v>121</v>
      </c>
      <c r="B77" s="73" t="s">
        <v>115</v>
      </c>
      <c r="C77" s="77" t="s">
        <v>11</v>
      </c>
      <c r="D77" s="79">
        <f>0.016*1.06</f>
        <v>1.6960000000000003E-2</v>
      </c>
      <c r="E77" s="61"/>
      <c r="F77" s="42"/>
      <c r="G77" s="42"/>
      <c r="H77" s="43">
        <f t="shared" si="28"/>
        <v>0</v>
      </c>
      <c r="I77" s="55">
        <f t="shared" si="29"/>
        <v>0</v>
      </c>
      <c r="J77" s="42"/>
      <c r="K77" s="42"/>
      <c r="L77" s="43">
        <f t="shared" si="30"/>
        <v>0</v>
      </c>
    </row>
    <row r="78" spans="1:12" s="27" customFormat="1" ht="31.5" customHeight="1" thickBot="1" x14ac:dyDescent="0.3">
      <c r="A78" s="106"/>
      <c r="B78" s="113" t="s">
        <v>86</v>
      </c>
      <c r="C78" s="19"/>
      <c r="D78" s="108"/>
      <c r="E78" s="110"/>
      <c r="F78" s="101"/>
      <c r="G78" s="101"/>
      <c r="H78" s="102"/>
      <c r="I78" s="110"/>
      <c r="J78" s="101"/>
      <c r="K78" s="101"/>
      <c r="L78" s="129">
        <f>L79+L80+L81+L82+L83+L84+L85+L86+L87+L88</f>
        <v>0</v>
      </c>
    </row>
    <row r="79" spans="1:12" s="27" customFormat="1" ht="60" customHeight="1" x14ac:dyDescent="0.25">
      <c r="A79" s="64" t="s">
        <v>87</v>
      </c>
      <c r="B79" s="65" t="s">
        <v>138</v>
      </c>
      <c r="C79" s="7" t="s">
        <v>11</v>
      </c>
      <c r="D79" s="69">
        <f>((D80+D81+D82+D83+D84+D85+D86+D87+D88)/1.06)*1.01</f>
        <v>1.7190200000000002</v>
      </c>
      <c r="E79" s="34"/>
      <c r="F79" s="59"/>
      <c r="G79" s="59"/>
      <c r="H79" s="23">
        <f>E79+F79+G79</f>
        <v>0</v>
      </c>
      <c r="I79" s="34"/>
      <c r="J79" s="22">
        <f>F79*D79</f>
        <v>0</v>
      </c>
      <c r="K79" s="22">
        <f>G79*D79</f>
        <v>0</v>
      </c>
      <c r="L79" s="23">
        <f>SUM(I79:K79)</f>
        <v>0</v>
      </c>
    </row>
    <row r="80" spans="1:12" s="33" customFormat="1" ht="26.25" customHeight="1" x14ac:dyDescent="0.25">
      <c r="A80" s="70" t="s">
        <v>129</v>
      </c>
      <c r="B80" s="72" t="s">
        <v>139</v>
      </c>
      <c r="C80" s="76" t="s">
        <v>11</v>
      </c>
      <c r="D80" s="78">
        <f>0.565*1.06</f>
        <v>0.59889999999999999</v>
      </c>
      <c r="E80" s="60"/>
      <c r="F80" s="38"/>
      <c r="G80" s="38"/>
      <c r="H80" s="41">
        <f t="shared" ref="H80:H88" si="31">E80+F80+G80</f>
        <v>0</v>
      </c>
      <c r="I80" s="54">
        <f t="shared" ref="I80:I88" si="32">D80*H80</f>
        <v>0</v>
      </c>
      <c r="J80" s="38"/>
      <c r="K80" s="38"/>
      <c r="L80" s="41">
        <f t="shared" ref="L80:L88" si="33">I80+J80+K80</f>
        <v>0</v>
      </c>
    </row>
    <row r="81" spans="1:13" s="33" customFormat="1" ht="26.25" customHeight="1" x14ac:dyDescent="0.25">
      <c r="A81" s="70" t="s">
        <v>130</v>
      </c>
      <c r="B81" s="72" t="s">
        <v>140</v>
      </c>
      <c r="C81" s="76" t="s">
        <v>11</v>
      </c>
      <c r="D81" s="78">
        <f>0.312*1.06</f>
        <v>0.33072000000000001</v>
      </c>
      <c r="E81" s="60"/>
      <c r="F81" s="38"/>
      <c r="G81" s="38"/>
      <c r="H81" s="41">
        <f t="shared" si="31"/>
        <v>0</v>
      </c>
      <c r="I81" s="54">
        <f t="shared" si="32"/>
        <v>0</v>
      </c>
      <c r="J81" s="38"/>
      <c r="K81" s="38"/>
      <c r="L81" s="41">
        <f t="shared" si="33"/>
        <v>0</v>
      </c>
    </row>
    <row r="82" spans="1:13" s="33" customFormat="1" ht="26.25" customHeight="1" x14ac:dyDescent="0.25">
      <c r="A82" s="70" t="s">
        <v>131</v>
      </c>
      <c r="B82" s="72" t="s">
        <v>141</v>
      </c>
      <c r="C82" s="76" t="s">
        <v>11</v>
      </c>
      <c r="D82" s="78">
        <f>0.31*1.06</f>
        <v>0.3286</v>
      </c>
      <c r="E82" s="60"/>
      <c r="F82" s="38"/>
      <c r="G82" s="38"/>
      <c r="H82" s="41">
        <f t="shared" si="31"/>
        <v>0</v>
      </c>
      <c r="I82" s="54">
        <f t="shared" si="32"/>
        <v>0</v>
      </c>
      <c r="J82" s="38"/>
      <c r="K82" s="38"/>
      <c r="L82" s="41">
        <f t="shared" si="33"/>
        <v>0</v>
      </c>
    </row>
    <row r="83" spans="1:13" s="33" customFormat="1" ht="26.25" customHeight="1" x14ac:dyDescent="0.25">
      <c r="A83" s="70" t="s">
        <v>132</v>
      </c>
      <c r="B83" s="72" t="s">
        <v>125</v>
      </c>
      <c r="C83" s="76" t="s">
        <v>11</v>
      </c>
      <c r="D83" s="78">
        <f>0.025*1.06</f>
        <v>2.6500000000000003E-2</v>
      </c>
      <c r="E83" s="60"/>
      <c r="F83" s="38"/>
      <c r="G83" s="38"/>
      <c r="H83" s="41">
        <f t="shared" si="31"/>
        <v>0</v>
      </c>
      <c r="I83" s="54">
        <f t="shared" si="32"/>
        <v>0</v>
      </c>
      <c r="J83" s="38"/>
      <c r="K83" s="38"/>
      <c r="L83" s="41">
        <f t="shared" si="33"/>
        <v>0</v>
      </c>
    </row>
    <row r="84" spans="1:13" s="33" customFormat="1" ht="26.25" customHeight="1" x14ac:dyDescent="0.25">
      <c r="A84" s="70" t="s">
        <v>133</v>
      </c>
      <c r="B84" s="72" t="s">
        <v>142</v>
      </c>
      <c r="C84" s="76" t="s">
        <v>11</v>
      </c>
      <c r="D84" s="78">
        <f>0.15*1.06</f>
        <v>0.159</v>
      </c>
      <c r="E84" s="60"/>
      <c r="F84" s="38"/>
      <c r="G84" s="38"/>
      <c r="H84" s="41">
        <f t="shared" si="31"/>
        <v>0</v>
      </c>
      <c r="I84" s="54">
        <f t="shared" si="32"/>
        <v>0</v>
      </c>
      <c r="J84" s="38"/>
      <c r="K84" s="38"/>
      <c r="L84" s="41">
        <f t="shared" si="33"/>
        <v>0</v>
      </c>
    </row>
    <row r="85" spans="1:13" s="33" customFormat="1" ht="26.25" customHeight="1" x14ac:dyDescent="0.25">
      <c r="A85" s="70" t="s">
        <v>134</v>
      </c>
      <c r="B85" s="72" t="s">
        <v>126</v>
      </c>
      <c r="C85" s="76" t="s">
        <v>11</v>
      </c>
      <c r="D85" s="78">
        <f>0.05*1.06</f>
        <v>5.3000000000000005E-2</v>
      </c>
      <c r="E85" s="60"/>
      <c r="F85" s="38"/>
      <c r="G85" s="38"/>
      <c r="H85" s="41">
        <f t="shared" si="31"/>
        <v>0</v>
      </c>
      <c r="I85" s="54">
        <f t="shared" si="32"/>
        <v>0</v>
      </c>
      <c r="J85" s="38"/>
      <c r="K85" s="38"/>
      <c r="L85" s="41">
        <f t="shared" si="33"/>
        <v>0</v>
      </c>
    </row>
    <row r="86" spans="1:13" s="33" customFormat="1" ht="26.25" customHeight="1" x14ac:dyDescent="0.25">
      <c r="A86" s="70" t="s">
        <v>135</v>
      </c>
      <c r="B86" s="72" t="s">
        <v>143</v>
      </c>
      <c r="C86" s="76" t="s">
        <v>11</v>
      </c>
      <c r="D86" s="78">
        <f>0.191*1.06</f>
        <v>0.20246</v>
      </c>
      <c r="E86" s="60"/>
      <c r="F86" s="38"/>
      <c r="G86" s="38"/>
      <c r="H86" s="41">
        <f t="shared" si="31"/>
        <v>0</v>
      </c>
      <c r="I86" s="54">
        <f t="shared" si="32"/>
        <v>0</v>
      </c>
      <c r="J86" s="38"/>
      <c r="K86" s="38"/>
      <c r="L86" s="41">
        <f t="shared" si="33"/>
        <v>0</v>
      </c>
    </row>
    <row r="87" spans="1:13" s="33" customFormat="1" ht="26.25" customHeight="1" x14ac:dyDescent="0.25">
      <c r="A87" s="70" t="s">
        <v>136</v>
      </c>
      <c r="B87" s="72" t="s">
        <v>145</v>
      </c>
      <c r="C87" s="76" t="s">
        <v>11</v>
      </c>
      <c r="D87" s="78">
        <f>0.065*1.06</f>
        <v>6.8900000000000003E-2</v>
      </c>
      <c r="E87" s="60"/>
      <c r="F87" s="38"/>
      <c r="G87" s="38"/>
      <c r="H87" s="41">
        <f t="shared" si="31"/>
        <v>0</v>
      </c>
      <c r="I87" s="54">
        <f t="shared" si="32"/>
        <v>0</v>
      </c>
      <c r="J87" s="38"/>
      <c r="K87" s="38"/>
      <c r="L87" s="41">
        <f t="shared" si="33"/>
        <v>0</v>
      </c>
    </row>
    <row r="88" spans="1:13" s="33" customFormat="1" ht="26.25" customHeight="1" thickBot="1" x14ac:dyDescent="0.3">
      <c r="A88" s="71" t="s">
        <v>137</v>
      </c>
      <c r="B88" s="73" t="s">
        <v>144</v>
      </c>
      <c r="C88" s="77" t="s">
        <v>11</v>
      </c>
      <c r="D88" s="79">
        <f>0.034*1.06</f>
        <v>3.6040000000000003E-2</v>
      </c>
      <c r="E88" s="61"/>
      <c r="F88" s="42"/>
      <c r="G88" s="42"/>
      <c r="H88" s="43">
        <f t="shared" si="31"/>
        <v>0</v>
      </c>
      <c r="I88" s="55">
        <f t="shared" si="32"/>
        <v>0</v>
      </c>
      <c r="J88" s="42"/>
      <c r="K88" s="42"/>
      <c r="L88" s="43">
        <f t="shared" si="33"/>
        <v>0</v>
      </c>
    </row>
    <row r="89" spans="1:13" s="27" customFormat="1" ht="15.75" customHeight="1" thickBot="1" x14ac:dyDescent="0.3">
      <c r="A89" s="106"/>
      <c r="B89" s="113" t="s">
        <v>88</v>
      </c>
      <c r="C89" s="19"/>
      <c r="D89" s="108"/>
      <c r="E89" s="110"/>
      <c r="F89" s="101"/>
      <c r="G89" s="101"/>
      <c r="H89" s="102"/>
      <c r="I89" s="110"/>
      <c r="J89" s="101"/>
      <c r="K89" s="101"/>
      <c r="L89" s="129">
        <f>L90+L91+L92+L93</f>
        <v>0</v>
      </c>
    </row>
    <row r="90" spans="1:13" s="27" customFormat="1" ht="60" customHeight="1" x14ac:dyDescent="0.25">
      <c r="A90" s="64" t="s">
        <v>89</v>
      </c>
      <c r="B90" s="65" t="s">
        <v>93</v>
      </c>
      <c r="C90" s="7" t="s">
        <v>11</v>
      </c>
      <c r="D90" s="69">
        <f>((D91+D92+D93)/1.06)*1.01</f>
        <v>3.5501500000000004</v>
      </c>
      <c r="E90" s="34"/>
      <c r="F90" s="59"/>
      <c r="G90" s="59"/>
      <c r="H90" s="23">
        <f>E90+F90+G90</f>
        <v>0</v>
      </c>
      <c r="I90" s="34"/>
      <c r="J90" s="22">
        <f>F90*D90</f>
        <v>0</v>
      </c>
      <c r="K90" s="22">
        <f>G90*D90</f>
        <v>0</v>
      </c>
      <c r="L90" s="23">
        <f>SUM(I90:K90)</f>
        <v>0</v>
      </c>
    </row>
    <row r="91" spans="1:13" s="33" customFormat="1" ht="26.25" customHeight="1" x14ac:dyDescent="0.25">
      <c r="A91" s="70" t="s">
        <v>94</v>
      </c>
      <c r="B91" s="72" t="s">
        <v>90</v>
      </c>
      <c r="C91" s="76" t="s">
        <v>11</v>
      </c>
      <c r="D91" s="78">
        <f>2.6*1.06</f>
        <v>2.7560000000000002</v>
      </c>
      <c r="E91" s="60"/>
      <c r="F91" s="38"/>
      <c r="G91" s="38"/>
      <c r="H91" s="41">
        <f t="shared" ref="H91:H93" si="34">E91+F91+G91</f>
        <v>0</v>
      </c>
      <c r="I91" s="54">
        <f t="shared" ref="I91:I93" si="35">D91*H91</f>
        <v>0</v>
      </c>
      <c r="J91" s="38"/>
      <c r="K91" s="38"/>
      <c r="L91" s="41">
        <f t="shared" ref="L91:L93" si="36">I91+J91+K91</f>
        <v>0</v>
      </c>
    </row>
    <row r="92" spans="1:13" s="33" customFormat="1" ht="26.25" customHeight="1" x14ac:dyDescent="0.25">
      <c r="A92" s="70" t="s">
        <v>95</v>
      </c>
      <c r="B92" s="72" t="s">
        <v>91</v>
      </c>
      <c r="C92" s="76" t="s">
        <v>11</v>
      </c>
      <c r="D92" s="78">
        <f>0.8*1.06</f>
        <v>0.84800000000000009</v>
      </c>
      <c r="E92" s="60"/>
      <c r="F92" s="38"/>
      <c r="G92" s="38"/>
      <c r="H92" s="41">
        <f t="shared" si="34"/>
        <v>0</v>
      </c>
      <c r="I92" s="54">
        <f t="shared" si="35"/>
        <v>0</v>
      </c>
      <c r="J92" s="38"/>
      <c r="K92" s="38"/>
      <c r="L92" s="41">
        <f t="shared" si="36"/>
        <v>0</v>
      </c>
    </row>
    <row r="93" spans="1:13" s="33" customFormat="1" ht="26.25" customHeight="1" thickBot="1" x14ac:dyDescent="0.3">
      <c r="A93" s="71" t="s">
        <v>96</v>
      </c>
      <c r="B93" s="73" t="s">
        <v>92</v>
      </c>
      <c r="C93" s="77" t="s">
        <v>11</v>
      </c>
      <c r="D93" s="79">
        <f>0.115*1.06</f>
        <v>0.12190000000000001</v>
      </c>
      <c r="E93" s="61"/>
      <c r="F93" s="42"/>
      <c r="G93" s="42"/>
      <c r="H93" s="43">
        <f t="shared" si="34"/>
        <v>0</v>
      </c>
      <c r="I93" s="55">
        <f t="shared" si="35"/>
        <v>0</v>
      </c>
      <c r="J93" s="42"/>
      <c r="K93" s="42"/>
      <c r="L93" s="43">
        <f t="shared" si="36"/>
        <v>0</v>
      </c>
    </row>
    <row r="94" spans="1:13" s="27" customFormat="1" ht="15.75" customHeight="1" thickBot="1" x14ac:dyDescent="0.3">
      <c r="A94" s="114"/>
      <c r="B94" s="119"/>
      <c r="C94" s="115"/>
      <c r="D94" s="116"/>
      <c r="E94" s="117"/>
      <c r="F94" s="104"/>
      <c r="G94" s="104"/>
      <c r="H94" s="105"/>
      <c r="I94" s="117"/>
      <c r="J94" s="104"/>
      <c r="K94" s="104"/>
      <c r="L94" s="105"/>
    </row>
    <row r="95" spans="1:13" s="27" customFormat="1" ht="22.5" customHeight="1" thickBot="1" x14ac:dyDescent="0.3">
      <c r="A95" s="20"/>
      <c r="B95" s="28"/>
      <c r="C95" s="20"/>
      <c r="D95" s="1"/>
      <c r="E95" s="29"/>
      <c r="F95" s="30"/>
      <c r="G95" s="31"/>
      <c r="H95" s="21" t="s">
        <v>10</v>
      </c>
      <c r="I95" s="135">
        <f>SUM(I14:I94)</f>
        <v>0</v>
      </c>
      <c r="J95" s="135">
        <f>SUM(J14:J94)</f>
        <v>0</v>
      </c>
      <c r="K95" s="136">
        <f>SUM(K14:K94)</f>
        <v>0</v>
      </c>
      <c r="L95" s="137">
        <f>L14+L22+L25+L33+L40+L46+L52+L59+L64+L71+L78+L89</f>
        <v>0</v>
      </c>
      <c r="M95" s="68"/>
    </row>
    <row r="96" spans="1:13" ht="29.25" customHeight="1" x14ac:dyDescent="0.25">
      <c r="A96" s="2"/>
      <c r="B96" s="3"/>
      <c r="C96" s="2"/>
      <c r="D96" s="4"/>
      <c r="E96" s="5"/>
      <c r="F96" s="5"/>
      <c r="G96" s="5"/>
      <c r="H96" s="5"/>
      <c r="I96" s="5"/>
      <c r="J96" s="5"/>
      <c r="K96" s="5"/>
      <c r="L96" s="5"/>
      <c r="M96" s="127"/>
    </row>
    <row r="97" spans="1:12" s="178" customFormat="1" ht="18.75" x14ac:dyDescent="0.3">
      <c r="A97" s="171" t="s">
        <v>173</v>
      </c>
      <c r="B97" s="172"/>
      <c r="C97" s="173"/>
      <c r="D97" s="174"/>
      <c r="E97" s="174"/>
      <c r="F97" s="175"/>
      <c r="G97" s="175"/>
      <c r="H97" s="176"/>
      <c r="I97" s="177"/>
      <c r="J97" s="177"/>
      <c r="K97" s="177"/>
      <c r="L97" s="177"/>
    </row>
    <row r="98" spans="1:12" s="178" customFormat="1" ht="18.75" x14ac:dyDescent="0.3">
      <c r="A98" s="179"/>
      <c r="B98" s="180" t="s">
        <v>174</v>
      </c>
      <c r="C98" s="181"/>
      <c r="D98" s="181"/>
      <c r="E98" s="181"/>
      <c r="F98" s="181"/>
      <c r="G98" s="181"/>
      <c r="H98" s="181"/>
      <c r="I98" s="181"/>
      <c r="J98" s="181"/>
      <c r="K98" s="181"/>
      <c r="L98" s="181"/>
    </row>
    <row r="99" spans="1:12" s="184" customFormat="1" ht="18.75" x14ac:dyDescent="0.25">
      <c r="A99" s="182"/>
      <c r="B99" s="180" t="s">
        <v>175</v>
      </c>
      <c r="C99" s="183"/>
      <c r="D99" s="183"/>
      <c r="E99" s="183"/>
      <c r="F99" s="183"/>
      <c r="G99" s="183"/>
      <c r="H99" s="183"/>
      <c r="I99" s="183"/>
      <c r="J99" s="183"/>
      <c r="K99" s="183"/>
      <c r="L99" s="183"/>
    </row>
    <row r="100" spans="1:12" s="184" customFormat="1" ht="18.75" x14ac:dyDescent="0.25">
      <c r="A100" s="182"/>
      <c r="B100" s="185" t="s">
        <v>176</v>
      </c>
      <c r="C100" s="181"/>
      <c r="D100" s="181"/>
      <c r="E100" s="181"/>
      <c r="F100" s="181"/>
      <c r="G100" s="181"/>
      <c r="H100" s="181"/>
      <c r="I100" s="181"/>
      <c r="J100" s="181"/>
      <c r="K100" s="181"/>
      <c r="L100" s="181"/>
    </row>
    <row r="101" spans="1:12" s="184" customFormat="1" ht="18.75" x14ac:dyDescent="0.25">
      <c r="A101" s="182"/>
      <c r="B101" s="185" t="s">
        <v>177</v>
      </c>
      <c r="C101" s="181"/>
      <c r="D101" s="181"/>
      <c r="E101" s="181"/>
      <c r="F101" s="181"/>
      <c r="G101" s="181"/>
      <c r="H101" s="181"/>
      <c r="I101" s="181"/>
      <c r="J101" s="181"/>
      <c r="K101" s="181"/>
      <c r="L101" s="181"/>
    </row>
    <row r="102" spans="1:12" s="184" customFormat="1" ht="18.75" x14ac:dyDescent="0.25">
      <c r="A102" s="182"/>
      <c r="B102" s="180" t="s">
        <v>178</v>
      </c>
      <c r="C102" s="183"/>
      <c r="D102" s="183"/>
      <c r="E102" s="183"/>
      <c r="F102" s="183"/>
      <c r="G102" s="183"/>
      <c r="H102" s="183"/>
      <c r="I102" s="183"/>
      <c r="J102" s="183"/>
      <c r="K102" s="183"/>
      <c r="L102" s="183"/>
    </row>
    <row r="103" spans="1:12" s="184" customFormat="1" ht="18.75" x14ac:dyDescent="0.25">
      <c r="A103" s="182"/>
      <c r="B103" s="186" t="s">
        <v>179</v>
      </c>
      <c r="C103" s="181" t="s">
        <v>180</v>
      </c>
      <c r="D103" s="181"/>
      <c r="E103" s="181"/>
      <c r="F103" s="181"/>
      <c r="G103" s="181"/>
      <c r="H103" s="181"/>
      <c r="I103" s="181"/>
      <c r="J103" s="181"/>
      <c r="K103" s="181"/>
      <c r="L103" s="181"/>
    </row>
    <row r="104" spans="1:12" s="184" customFormat="1" ht="16.5" customHeight="1" x14ac:dyDescent="0.25">
      <c r="A104" s="187"/>
      <c r="B104" s="188" t="s">
        <v>181</v>
      </c>
      <c r="C104" s="181" t="s">
        <v>180</v>
      </c>
      <c r="D104" s="181"/>
      <c r="E104" s="181"/>
      <c r="F104" s="181"/>
      <c r="G104" s="181"/>
      <c r="H104" s="181"/>
      <c r="I104" s="181"/>
      <c r="J104" s="181"/>
      <c r="K104" s="181"/>
      <c r="L104" s="181"/>
    </row>
    <row r="105" spans="1:12" s="184" customFormat="1" ht="15" customHeight="1" x14ac:dyDescent="0.25">
      <c r="A105" s="189"/>
      <c r="B105" s="188" t="s">
        <v>182</v>
      </c>
      <c r="C105" s="181" t="s">
        <v>180</v>
      </c>
      <c r="D105" s="181"/>
      <c r="E105" s="181"/>
      <c r="F105" s="181"/>
      <c r="G105" s="181"/>
      <c r="H105" s="181"/>
      <c r="I105" s="181"/>
      <c r="J105" s="181"/>
      <c r="K105" s="181"/>
      <c r="L105" s="181"/>
    </row>
    <row r="106" spans="1:12" s="190" customFormat="1" ht="15" customHeight="1" x14ac:dyDescent="0.25">
      <c r="A106" s="189"/>
      <c r="B106" s="188" t="s">
        <v>183</v>
      </c>
      <c r="C106" s="181"/>
      <c r="D106" s="181"/>
      <c r="E106" s="181"/>
      <c r="F106" s="181"/>
      <c r="G106" s="181"/>
      <c r="H106" s="181"/>
      <c r="I106" s="181"/>
      <c r="J106" s="181"/>
      <c r="K106" s="181"/>
      <c r="L106" s="181"/>
    </row>
    <row r="107" spans="1:12" s="184" customFormat="1" ht="15" customHeight="1" x14ac:dyDescent="0.25">
      <c r="A107" s="189"/>
      <c r="B107" s="188" t="s">
        <v>184</v>
      </c>
      <c r="C107" s="181" t="s">
        <v>185</v>
      </c>
      <c r="D107" s="181"/>
      <c r="E107" s="181"/>
      <c r="F107" s="181"/>
      <c r="G107" s="181"/>
      <c r="H107" s="181"/>
      <c r="I107" s="181"/>
      <c r="J107" s="181"/>
      <c r="K107" s="181"/>
      <c r="L107" s="181"/>
    </row>
    <row r="108" spans="1:12" ht="18.75" x14ac:dyDescent="0.3">
      <c r="B108" s="8" t="s">
        <v>12</v>
      </c>
      <c r="G108" s="91"/>
      <c r="H108" s="91"/>
    </row>
    <row r="109" spans="1:12" ht="60" x14ac:dyDescent="0.25">
      <c r="B109" s="9" t="s">
        <v>13</v>
      </c>
    </row>
    <row r="110" spans="1:12" ht="30" x14ac:dyDescent="0.25">
      <c r="B110" s="67" t="s">
        <v>164</v>
      </c>
    </row>
    <row r="111" spans="1:12" ht="45" x14ac:dyDescent="0.25">
      <c r="B111" s="9" t="s">
        <v>14</v>
      </c>
    </row>
    <row r="112" spans="1:12" ht="30" x14ac:dyDescent="0.25">
      <c r="B112" s="9" t="s">
        <v>15</v>
      </c>
    </row>
    <row r="113" spans="2:2" x14ac:dyDescent="0.25">
      <c r="B113" s="8"/>
    </row>
    <row r="114" spans="2:2" x14ac:dyDescent="0.25">
      <c r="B114" s="8"/>
    </row>
  </sheetData>
  <mergeCells count="35">
    <mergeCell ref="C104:L104"/>
    <mergeCell ref="C105:L105"/>
    <mergeCell ref="C106:L106"/>
    <mergeCell ref="C107:L107"/>
    <mergeCell ref="C99:L99"/>
    <mergeCell ref="C100:L100"/>
    <mergeCell ref="C101:L101"/>
    <mergeCell ref="C102:L102"/>
    <mergeCell ref="C103:L103"/>
    <mergeCell ref="E10:H10"/>
    <mergeCell ref="I10:L10"/>
    <mergeCell ref="E11:H11"/>
    <mergeCell ref="I11:L11"/>
    <mergeCell ref="C98:L98"/>
    <mergeCell ref="I7:L7"/>
    <mergeCell ref="E8:H8"/>
    <mergeCell ref="I8:L8"/>
    <mergeCell ref="E9:H9"/>
    <mergeCell ref="I9:L9"/>
    <mergeCell ref="A1:L1"/>
    <mergeCell ref="A2:L2"/>
    <mergeCell ref="A3:L3"/>
    <mergeCell ref="A12:A13"/>
    <mergeCell ref="B12:B13"/>
    <mergeCell ref="C12:C13"/>
    <mergeCell ref="D12:D13"/>
    <mergeCell ref="E12:H12"/>
    <mergeCell ref="I12:L12"/>
    <mergeCell ref="E4:H4"/>
    <mergeCell ref="I4:L4"/>
    <mergeCell ref="E5:H5"/>
    <mergeCell ref="I5:L5"/>
    <mergeCell ref="E6:H6"/>
    <mergeCell ref="I6:L6"/>
    <mergeCell ref="E7:H7"/>
  </mergeCells>
  <phoneticPr fontId="9" type="noConversion"/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БС1-3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Дудкина Дарья Викторовна</dc:creator>
  <cp:lastModifiedBy>Дудкина Дарья Викторовна</cp:lastModifiedBy>
  <cp:lastPrinted>2026-10-12T08:43:09Z</cp:lastPrinted>
  <dcterms:created xsi:type="dcterms:W3CDTF">2022-02-11T08:34:34Z</dcterms:created>
  <dcterms:modified xsi:type="dcterms:W3CDTF">2026-10-14T14:06:49Z</dcterms:modified>
</cp:coreProperties>
</file>